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J:\Transparencia\Portal\2- Bloque Económico-Financiero\2- Cuentas anuales\CuentasAnuales2024\Portal de Transparencia\"/>
    </mc:Choice>
  </mc:AlternateContent>
  <xr:revisionPtr revIDLastSave="0" documentId="13_ncr:1_{BFC62A59-1E68-48A4-BF0F-7D1CA53A0291}" xr6:coauthVersionLast="36" xr6:coauthVersionMax="36" xr10:uidLastSave="{00000000-0000-0000-0000-000000000000}"/>
  <bookViews>
    <workbookView xWindow="0" yWindow="0" windowWidth="28800" windowHeight="11325" firstSheet="7" activeTab="7" xr2:uid="{6FBC4754-D9FB-4AFF-AB93-FD13E5330BC3}"/>
  </bookViews>
  <sheets>
    <sheet name="BALANCE individual 2024 " sheetId="3" r:id="rId1"/>
    <sheet name="CTA. RESULTADOS Individual 2024" sheetId="4" r:id="rId2"/>
    <sheet name="INDICADORES FROS Individua 2024" sheetId="5" r:id="rId3"/>
    <sheet name="INDICADORES PTOS Individua 2024" sheetId="6" r:id="rId4"/>
    <sheet name=" PASIVOS FINANC.2024" sheetId="7" r:id="rId5"/>
    <sheet name="BALANCE Consolidado 2024" sheetId="8" r:id="rId6"/>
    <sheet name="CTA. RESULTADO Consolidada 2024" sheetId="9" r:id="rId7"/>
    <sheet name="Bienes muebles y derechos" sheetId="14" r:id="rId8"/>
  </sheets>
  <externalReferences>
    <externalReference r:id="rId9"/>
    <externalReference r:id="rId10"/>
  </externalReferences>
  <definedNames>
    <definedName name="_xlnm._FilterDatabase" localSheetId="7" hidden="1">'Bienes muebles y derechos'!$A$1:$A$112</definedName>
    <definedName name="_xlnm.Print_Area" localSheetId="5">'BALANCE Consolidado 2024'!#REF!</definedName>
    <definedName name="_xlnm.Print_Area" localSheetId="6">'CTA. RESULTADO Consolidada 2024'!#REF!</definedName>
    <definedName name="_xlnm.Print_Area" localSheetId="3">'INDICADORES PTOS Individua 2024'!$A$1:$P$118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4" i="14" l="1"/>
  <c r="D104" i="14"/>
  <c r="C104" i="14"/>
  <c r="F103" i="14"/>
  <c r="F102" i="14"/>
  <c r="F104" i="14" s="1"/>
  <c r="F97" i="14"/>
  <c r="E97" i="14"/>
  <c r="D97" i="14"/>
  <c r="C97" i="14"/>
  <c r="F96" i="14"/>
  <c r="E91" i="14"/>
  <c r="D91" i="14"/>
  <c r="C91" i="14"/>
  <c r="F90" i="14"/>
  <c r="F89" i="14"/>
  <c r="F91" i="14" s="1"/>
  <c r="D79" i="14"/>
  <c r="D75" i="14"/>
  <c r="E72" i="14"/>
  <c r="D72" i="14"/>
  <c r="E65" i="14"/>
  <c r="D65" i="14"/>
  <c r="C65" i="14"/>
  <c r="F65" i="14" s="1"/>
  <c r="E79" i="14" s="1"/>
  <c r="F64" i="14"/>
  <c r="F62" i="14"/>
  <c r="E78" i="14" s="1"/>
  <c r="E62" i="14"/>
  <c r="D62" i="14"/>
  <c r="D78" i="14" s="1"/>
  <c r="C62" i="14"/>
  <c r="F61" i="14"/>
  <c r="E59" i="14"/>
  <c r="D59" i="14"/>
  <c r="D77" i="14" s="1"/>
  <c r="C59" i="14"/>
  <c r="F59" i="14" s="1"/>
  <c r="E77" i="14" s="1"/>
  <c r="F58" i="14"/>
  <c r="E56" i="14"/>
  <c r="D56" i="14"/>
  <c r="F56" i="14" s="1"/>
  <c r="E76" i="14" s="1"/>
  <c r="C56" i="14"/>
  <c r="F55" i="14"/>
  <c r="E53" i="14"/>
  <c r="D53" i="14"/>
  <c r="C53" i="14"/>
  <c r="F53" i="14" s="1"/>
  <c r="E75" i="14" s="1"/>
  <c r="F52" i="14"/>
  <c r="E50" i="14"/>
  <c r="E66" i="14" s="1"/>
  <c r="D50" i="14"/>
  <c r="D74" i="14" s="1"/>
  <c r="C50" i="14"/>
  <c r="F50" i="14" s="1"/>
  <c r="E74" i="14" s="1"/>
  <c r="F49" i="14"/>
  <c r="F48" i="14"/>
  <c r="F47" i="14"/>
  <c r="E47" i="14"/>
  <c r="D47" i="14"/>
  <c r="D66" i="14" s="1"/>
  <c r="C47" i="14"/>
  <c r="F46" i="14"/>
  <c r="F45" i="14"/>
  <c r="F44" i="14"/>
  <c r="C39" i="14"/>
  <c r="E38" i="14"/>
  <c r="F38" i="14" s="1"/>
  <c r="C80" i="14" s="1"/>
  <c r="F80" i="14" s="1"/>
  <c r="D38" i="14"/>
  <c r="C38" i="14"/>
  <c r="F37" i="14"/>
  <c r="E35" i="14"/>
  <c r="D35" i="14"/>
  <c r="C35" i="14"/>
  <c r="F35" i="14" s="1"/>
  <c r="C79" i="14" s="1"/>
  <c r="F79" i="14" s="1"/>
  <c r="F34" i="14"/>
  <c r="E32" i="14"/>
  <c r="F32" i="14" s="1"/>
  <c r="C78" i="14" s="1"/>
  <c r="F78" i="14" s="1"/>
  <c r="D32" i="14"/>
  <c r="C32" i="14"/>
  <c r="F31" i="14"/>
  <c r="E29" i="14"/>
  <c r="D29" i="14"/>
  <c r="C29" i="14"/>
  <c r="F29" i="14" s="1"/>
  <c r="C77" i="14" s="1"/>
  <c r="F28" i="14"/>
  <c r="E26" i="14"/>
  <c r="E39" i="14" s="1"/>
  <c r="D26" i="14"/>
  <c r="D39" i="14" s="1"/>
  <c r="C26" i="14"/>
  <c r="F26" i="14" s="1"/>
  <c r="C76" i="14" s="1"/>
  <c r="F76" i="14" s="1"/>
  <c r="F25" i="14"/>
  <c r="F23" i="14"/>
  <c r="C75" i="14" s="1"/>
  <c r="E23" i="14"/>
  <c r="D23" i="14"/>
  <c r="C23" i="14"/>
  <c r="F22" i="14"/>
  <c r="F21" i="14"/>
  <c r="E19" i="14"/>
  <c r="D19" i="14"/>
  <c r="C19" i="14"/>
  <c r="F18" i="14"/>
  <c r="F17" i="14"/>
  <c r="F19" i="14" s="1"/>
  <c r="C74" i="14" s="1"/>
  <c r="F13" i="14"/>
  <c r="C73" i="14" s="1"/>
  <c r="F73" i="14" s="1"/>
  <c r="E13" i="14"/>
  <c r="D13" i="14"/>
  <c r="C13" i="14"/>
  <c r="F12" i="14"/>
  <c r="C10" i="14"/>
  <c r="F10" i="14" s="1"/>
  <c r="C72" i="14" s="1"/>
  <c r="F72" i="14" s="1"/>
  <c r="F9" i="14"/>
  <c r="F8" i="14"/>
  <c r="F7" i="14"/>
  <c r="C71" i="14" s="1"/>
  <c r="C35" i="9"/>
  <c r="B35" i="9"/>
  <c r="C33" i="9"/>
  <c r="B33" i="9"/>
  <c r="C32" i="9"/>
  <c r="B32" i="9"/>
  <c r="C31" i="9"/>
  <c r="B31" i="9"/>
  <c r="C30" i="9"/>
  <c r="B30" i="9"/>
  <c r="B29" i="9" s="1"/>
  <c r="B34" i="9" s="1"/>
  <c r="C29" i="9"/>
  <c r="C34" i="9" s="1"/>
  <c r="C27" i="9"/>
  <c r="B27" i="9"/>
  <c r="C26" i="9"/>
  <c r="B26" i="9"/>
  <c r="C25" i="9"/>
  <c r="B25" i="9"/>
  <c r="C24" i="9"/>
  <c r="B24" i="9"/>
  <c r="C20" i="9"/>
  <c r="B20" i="9"/>
  <c r="C19" i="9"/>
  <c r="B19" i="9"/>
  <c r="C18" i="9"/>
  <c r="B18" i="9"/>
  <c r="C17" i="9"/>
  <c r="B17" i="9"/>
  <c r="C16" i="9"/>
  <c r="B16" i="9"/>
  <c r="C15" i="9"/>
  <c r="B15" i="9"/>
  <c r="B13" i="9" s="1"/>
  <c r="B21" i="9" s="1"/>
  <c r="C14" i="9"/>
  <c r="B14" i="9"/>
  <c r="C13" i="9"/>
  <c r="C21" i="9" s="1"/>
  <c r="C11" i="9"/>
  <c r="B11" i="9"/>
  <c r="C10" i="9"/>
  <c r="C9" i="9" s="1"/>
  <c r="B10" i="9"/>
  <c r="B9" i="9" s="1"/>
  <c r="C8" i="9"/>
  <c r="B8" i="9"/>
  <c r="C7" i="9"/>
  <c r="B7" i="9"/>
  <c r="B5" i="9" s="1"/>
  <c r="C6" i="9"/>
  <c r="B6" i="9"/>
  <c r="C5" i="9"/>
  <c r="C4" i="9"/>
  <c r="C3" i="9" s="1"/>
  <c r="B4" i="9"/>
  <c r="B3" i="9" s="1"/>
  <c r="H25" i="8"/>
  <c r="G25" i="8"/>
  <c r="D25" i="8"/>
  <c r="C25" i="8"/>
  <c r="H24" i="8"/>
  <c r="G24" i="8"/>
  <c r="D24" i="8"/>
  <c r="C24" i="8"/>
  <c r="H23" i="8"/>
  <c r="H22" i="8" s="1"/>
  <c r="G23" i="8"/>
  <c r="G22" i="8" s="1"/>
  <c r="D23" i="8"/>
  <c r="C23" i="8"/>
  <c r="H21" i="8"/>
  <c r="H19" i="8" s="1"/>
  <c r="G21" i="8"/>
  <c r="G19" i="8" s="1"/>
  <c r="G16" i="8" s="1"/>
  <c r="D21" i="8"/>
  <c r="C21" i="8"/>
  <c r="D19" i="8"/>
  <c r="D18" i="8" s="1"/>
  <c r="C19" i="8"/>
  <c r="H17" i="8"/>
  <c r="G17" i="8"/>
  <c r="D16" i="8"/>
  <c r="C16" i="8"/>
  <c r="H15" i="8"/>
  <c r="G15" i="8"/>
  <c r="D15" i="8"/>
  <c r="D14" i="8" s="1"/>
  <c r="C15" i="8"/>
  <c r="C14" i="8" s="1"/>
  <c r="H14" i="8"/>
  <c r="G14" i="8"/>
  <c r="H13" i="8"/>
  <c r="H12" i="8" s="1"/>
  <c r="G13" i="8"/>
  <c r="D13" i="8"/>
  <c r="C13" i="8"/>
  <c r="D11" i="8"/>
  <c r="C11" i="8"/>
  <c r="H10" i="8"/>
  <c r="G10" i="8"/>
  <c r="D10" i="8"/>
  <c r="D7" i="8" s="1"/>
  <c r="C10" i="8"/>
  <c r="D9" i="8"/>
  <c r="C9" i="8"/>
  <c r="H8" i="8"/>
  <c r="G8" i="8"/>
  <c r="D8" i="8"/>
  <c r="C8" i="8"/>
  <c r="H7" i="8"/>
  <c r="G7" i="8"/>
  <c r="H6" i="8"/>
  <c r="G6" i="8"/>
  <c r="D5" i="8"/>
  <c r="D4" i="8" s="1"/>
  <c r="C5" i="8"/>
  <c r="C4" i="8" s="1"/>
  <c r="H4" i="8"/>
  <c r="G4" i="8"/>
  <c r="C7" i="8" l="1"/>
  <c r="H16" i="8"/>
  <c r="C18" i="8"/>
  <c r="G5" i="8"/>
  <c r="G3" i="8" s="1"/>
  <c r="G26" i="8" s="1"/>
  <c r="H5" i="8"/>
  <c r="H3" i="8" s="1"/>
  <c r="G12" i="8"/>
  <c r="C3" i="8"/>
  <c r="C26" i="8" s="1"/>
  <c r="F75" i="14"/>
  <c r="F74" i="14"/>
  <c r="F66" i="14"/>
  <c r="D81" i="14"/>
  <c r="E81" i="14"/>
  <c r="F71" i="14"/>
  <c r="C81" i="14"/>
  <c r="F77" i="14"/>
  <c r="D76" i="14"/>
  <c r="C66" i="14"/>
  <c r="F39" i="14"/>
  <c r="C12" i="9"/>
  <c r="C23" i="9" s="1"/>
  <c r="C28" i="9" s="1"/>
  <c r="C37" i="9" s="1"/>
  <c r="B12" i="9"/>
  <c r="B23" i="9" s="1"/>
  <c r="B28" i="9" s="1"/>
  <c r="B37" i="9" s="1"/>
  <c r="H26" i="8"/>
  <c r="D3" i="8"/>
  <c r="D26" i="8" s="1"/>
  <c r="F81" i="14" l="1"/>
  <c r="Q32" i="7"/>
  <c r="Q31" i="7"/>
  <c r="Q30" i="7"/>
  <c r="Q29" i="7"/>
  <c r="Q28" i="7"/>
  <c r="R27" i="7"/>
  <c r="Q27" i="7"/>
  <c r="Q26" i="7"/>
  <c r="Q25" i="7"/>
  <c r="Q23" i="7"/>
  <c r="R21" i="7"/>
  <c r="Q21" i="7"/>
  <c r="Q20" i="7"/>
  <c r="Q19" i="7"/>
  <c r="Q18" i="7"/>
  <c r="R17" i="7"/>
  <c r="Q17" i="7"/>
  <c r="Q16" i="7"/>
  <c r="R15" i="7"/>
  <c r="Q15" i="7"/>
  <c r="O13" i="7"/>
  <c r="O33" i="7" s="1"/>
  <c r="L13" i="7"/>
  <c r="L33" i="7" s="1"/>
  <c r="H13" i="7"/>
  <c r="H33" i="7" s="1"/>
  <c r="G13" i="7"/>
  <c r="F13" i="7"/>
  <c r="R13" i="7" l="1"/>
  <c r="R33" i="7" s="1"/>
  <c r="Q13" i="7"/>
  <c r="Q33" i="7" s="1"/>
  <c r="F33" i="7"/>
  <c r="G33" i="7"/>
  <c r="C43" i="4"/>
  <c r="D41" i="4"/>
  <c r="D44" i="4" s="1"/>
  <c r="C41" i="4"/>
  <c r="C44" i="4" s="1"/>
  <c r="C39" i="4"/>
  <c r="D38" i="4"/>
  <c r="C38" i="4"/>
  <c r="D36" i="4"/>
  <c r="D35" i="4" s="1"/>
  <c r="C36" i="4"/>
  <c r="C35" i="4" s="1"/>
  <c r="C33" i="4"/>
  <c r="C32" i="4"/>
  <c r="D31" i="4"/>
  <c r="C31" i="4"/>
  <c r="D28" i="4"/>
  <c r="C28" i="4"/>
  <c r="C22" i="4"/>
  <c r="D21" i="4"/>
  <c r="D25" i="4" s="1"/>
  <c r="D27" i="4" s="1"/>
  <c r="D34" i="4" s="1"/>
  <c r="D45" i="4" s="1"/>
  <c r="C21" i="4"/>
  <c r="C25" i="4" s="1"/>
  <c r="C27" i="4" s="1"/>
  <c r="C34" i="4" s="1"/>
  <c r="C45" i="4" s="1"/>
  <c r="D19" i="4"/>
  <c r="C19" i="4"/>
  <c r="C17" i="4"/>
  <c r="D15" i="4"/>
  <c r="C15" i="4"/>
  <c r="D14" i="4"/>
  <c r="C14" i="4"/>
  <c r="C13" i="4"/>
  <c r="C12" i="4"/>
  <c r="D11" i="4"/>
  <c r="C11" i="4"/>
  <c r="D7" i="4"/>
  <c r="C7" i="4"/>
  <c r="D6" i="4"/>
  <c r="C6" i="4"/>
  <c r="D4" i="4"/>
  <c r="C4" i="4"/>
  <c r="F28" i="3"/>
  <c r="E28" i="3"/>
  <c r="J27" i="3"/>
  <c r="F26" i="3"/>
  <c r="E26" i="3"/>
  <c r="K25" i="3"/>
  <c r="J25" i="3"/>
  <c r="E24" i="3"/>
  <c r="E22" i="3" s="1"/>
  <c r="J23" i="3"/>
  <c r="J22" i="3" s="1"/>
  <c r="J19" i="3" s="1"/>
  <c r="E23" i="3"/>
  <c r="K22" i="3"/>
  <c r="F22" i="3"/>
  <c r="K20" i="3"/>
  <c r="J20" i="3"/>
  <c r="F20" i="3"/>
  <c r="F19" i="3" s="1"/>
  <c r="E20" i="3"/>
  <c r="E19" i="3" s="1"/>
  <c r="K19" i="3"/>
  <c r="E17" i="3"/>
  <c r="K16" i="3"/>
  <c r="J16" i="3"/>
  <c r="E16" i="3"/>
  <c r="E15" i="3" s="1"/>
  <c r="K15" i="3"/>
  <c r="J15" i="3"/>
  <c r="F15" i="3"/>
  <c r="K14" i="3"/>
  <c r="J14" i="3"/>
  <c r="E14" i="3"/>
  <c r="E13" i="3"/>
  <c r="E12" i="3"/>
  <c r="E11" i="3"/>
  <c r="J10" i="3"/>
  <c r="J8" i="3" s="1"/>
  <c r="J5" i="3" s="1"/>
  <c r="E10" i="3"/>
  <c r="F9" i="3"/>
  <c r="K8" i="3"/>
  <c r="E8" i="3"/>
  <c r="E7" i="3"/>
  <c r="K6" i="3"/>
  <c r="K5" i="3" s="1"/>
  <c r="K30" i="3" s="1"/>
  <c r="J6" i="3"/>
  <c r="F6" i="3"/>
  <c r="F5" i="3" s="1"/>
  <c r="E9" i="3" l="1"/>
  <c r="E6" i="3"/>
  <c r="E5" i="3" s="1"/>
  <c r="E30" i="3" s="1"/>
  <c r="F30" i="3"/>
  <c r="J30" i="3"/>
</calcChain>
</file>

<file path=xl/sharedStrings.xml><?xml version="1.0" encoding="utf-8"?>
<sst xmlns="http://schemas.openxmlformats.org/spreadsheetml/2006/main" count="536" uniqueCount="399">
  <si>
    <t>BALANCE</t>
  </si>
  <si>
    <t>ACTIVO</t>
  </si>
  <si>
    <t xml:space="preserve">Nota Memoria </t>
  </si>
  <si>
    <t>PATRIMONIO NETO Y PASIVO</t>
  </si>
  <si>
    <t>A) ACTIVO NO CORRIENTE</t>
  </si>
  <si>
    <t>A) PATRIMONIO NETO</t>
  </si>
  <si>
    <t>I. INMOVILIZADO INTANGIBLE</t>
  </si>
  <si>
    <t>7.1</t>
  </si>
  <si>
    <t>I. PATRIMONIO APORTADO</t>
  </si>
  <si>
    <t>1. Inversión en investigación y desarrollo</t>
  </si>
  <si>
    <t>1. Patrimonio aportado</t>
  </si>
  <si>
    <t>3. Aplicaciones informáticas</t>
  </si>
  <si>
    <t>II. PATRIMONIO GENERADO</t>
  </si>
  <si>
    <t>1. Resultados de ejercicios anteriores</t>
  </si>
  <si>
    <t>II. INMOVILIZADO MATERIAL</t>
  </si>
  <si>
    <t>5.1</t>
  </si>
  <si>
    <t>2. Resultados de ejercicio</t>
  </si>
  <si>
    <t>1. Terrenos</t>
  </si>
  <si>
    <t>IV. OTROS INCREMENTOS PATRIMONIALES PENDIENTES DE IMPUTACIÓN A RESULTADOS</t>
  </si>
  <si>
    <t>2. Construcciones</t>
  </si>
  <si>
    <t>4. Bienes del patrimonio histórico</t>
  </si>
  <si>
    <t>5. Otro inmovilizado material</t>
  </si>
  <si>
    <t>B) PASIVO NO CORRIENTE</t>
  </si>
  <si>
    <t>6. Inmovilizado en curso y anticipos</t>
  </si>
  <si>
    <t>I. PROVISIONES A LARGO PLAZO</t>
  </si>
  <si>
    <t>V. INVERSIONES FINANCIERAS A LARGO PLAZO</t>
  </si>
  <si>
    <t>9.1</t>
  </si>
  <si>
    <t>II. DEUDAS A LARGO PLAZO</t>
  </si>
  <si>
    <t>10.1</t>
  </si>
  <si>
    <t>250, (297)</t>
  </si>
  <si>
    <t>1. Inversiones financieras en patrimonio</t>
  </si>
  <si>
    <t>4. Otras deudas</t>
  </si>
  <si>
    <t>2.Créditos y valores representativos de deuda</t>
  </si>
  <si>
    <t>B) ACTIVO CORRIENTE</t>
  </si>
  <si>
    <t>C) PASIVO CORRIENTE</t>
  </si>
  <si>
    <t>II. EXISTENCIAS</t>
  </si>
  <si>
    <t>I. PROVISIONES A CORTO PLAZO</t>
  </si>
  <si>
    <t>2. Mercaderías y productos terminados</t>
  </si>
  <si>
    <t>Provisión a corto plazo para responsabilidades</t>
  </si>
  <si>
    <t>III. DEUDORES Y OTRAS CUENTAS A COBRAR</t>
  </si>
  <si>
    <t>II. DEUDAS A CORTO PLAZO</t>
  </si>
  <si>
    <t>430, 431 (490)</t>
  </si>
  <si>
    <t>1. Deudores por operaciones de gestión</t>
  </si>
  <si>
    <t>521, 522,  560</t>
  </si>
  <si>
    <t>2. Otras cuentas a cobrar</t>
  </si>
  <si>
    <t>20.1 20.3</t>
  </si>
  <si>
    <t>3. Administraciones Públicas</t>
  </si>
  <si>
    <t>20.1</t>
  </si>
  <si>
    <t>IV. ACREEDORES Y OTRAS CUENTAS A PAGAR</t>
  </si>
  <si>
    <t>V. INVERSIONES FINANCIERAS A CORTO PLAZO</t>
  </si>
  <si>
    <t>1. Acreedores por operaciones de gestión</t>
  </si>
  <si>
    <t>2. Créditos y valores representativos de deuda</t>
  </si>
  <si>
    <t>2. Otras cuentas a pagar</t>
  </si>
  <si>
    <t>20.2 20.3 23.1.1 d</t>
  </si>
  <si>
    <t>20.1 20.2</t>
  </si>
  <si>
    <t>VII. EFECTIVO Y OTROS ACTIVOS LIQUIDOS EQUIVALENTES</t>
  </si>
  <si>
    <t>V. AJUSTES POR PERIODIFICACIÓN</t>
  </si>
  <si>
    <t>4.6</t>
  </si>
  <si>
    <t>570, 571, 573, 575</t>
  </si>
  <si>
    <t>2. Tesorería</t>
  </si>
  <si>
    <t>TOTAL ACTIVO (A + B)</t>
  </si>
  <si>
    <t>TOTAL PATRIMONIO NETO Y PASIVO (A + B + C)</t>
  </si>
  <si>
    <t>IV. RESULTADO (Ahorro o desahorro) NETO DEL EJERCICIO (II+III)</t>
  </si>
  <si>
    <t>III. RESULTADO DE LAS OPERACIONES FINANCIERAS (15+16+17+18+19+20)</t>
  </si>
  <si>
    <t>b) Otros</t>
  </si>
  <si>
    <t>a) De entidades del grupo, multigrupo y asociadas</t>
  </si>
  <si>
    <t>[696]</t>
  </si>
  <si>
    <t>20. Deterioro de valor, bajas y enajenaciones de activos y pasivos financieros</t>
  </si>
  <si>
    <t>19. Diferencias de cambio</t>
  </si>
  <si>
    <t>16. Gastos financieros</t>
  </si>
  <si>
    <t>b.2) Otros</t>
  </si>
  <si>
    <t>b) De valores negociables y de créditos del activo inmovilizado</t>
  </si>
  <si>
    <t>15. Ingresos financieros</t>
  </si>
  <si>
    <t>II. RESULTADO DE LAS OPERACIONES NO FINANCIERAS (I+13+14)</t>
  </si>
  <si>
    <t>b) Gastos</t>
  </si>
  <si>
    <t>a) Ingresos</t>
  </si>
  <si>
    <t>14. Otras partidas no ordinarias</t>
  </si>
  <si>
    <t>b) Bajas y enajenaciones</t>
  </si>
  <si>
    <t>a) Deterioro de valor</t>
  </si>
  <si>
    <t>[691]</t>
  </si>
  <si>
    <t>13. Deterioro de valor y resultado por enajenación del inmovilizado no financiero y activos en estado de venta</t>
  </si>
  <si>
    <t>I. RESULTADO (Ahorro o Desahorro) DE LA GESTIÓN ORDINARIA (A+B)</t>
  </si>
  <si>
    <t>B) TOTAL DE GASTOS DE GESTIÓN ORDINARIA (8+9+10+11+12)</t>
  </si>
  <si>
    <t>12. Amortización del inmovilizado</t>
  </si>
  <si>
    <t>b) Tributos</t>
  </si>
  <si>
    <t>a) Suministros y servicios exteriores</t>
  </si>
  <si>
    <t>11. Otros gastos de gestión ordinaria</t>
  </si>
  <si>
    <t>a) Consumo de mercaderías y otros aprovisionamientos</t>
  </si>
  <si>
    <t>[602], [610]</t>
  </si>
  <si>
    <t xml:space="preserve">10. Aprovisionamientos </t>
  </si>
  <si>
    <t>9. Transferencias y subvenciones concedidas</t>
  </si>
  <si>
    <t>b) Cargas sociales</t>
  </si>
  <si>
    <t>[642], [643], [644], [645]</t>
  </si>
  <si>
    <t>a) Sueldos, salarios y asimilados</t>
  </si>
  <si>
    <t>[640], [641]</t>
  </si>
  <si>
    <t>8. Gastos de personal</t>
  </si>
  <si>
    <t>A) TOTAL INGRESOS DE GESTIÓN ORDINARIA (1+2+3+4+5+6+7)</t>
  </si>
  <si>
    <t>6. Otros ingresos de gestión</t>
  </si>
  <si>
    <t>b) Prestaciones de servicios</t>
  </si>
  <si>
    <t>3. Ventas netas y prestaciones de servicios</t>
  </si>
  <si>
    <t>c) Imputación de subvenciones para la financiación de operaciones financieras imputadas al ejercicio</t>
  </si>
  <si>
    <t>a.1) Subvenciones recibidas para financiar gastos del ejercicio</t>
  </si>
  <si>
    <t>a.1)Tansferencias corrientes</t>
  </si>
  <si>
    <t>a) del ejercicio</t>
  </si>
  <si>
    <t>2. Transferencias y subvenciones recibidas</t>
  </si>
  <si>
    <t>b) Tasas</t>
  </si>
  <si>
    <t>1. Ingresos tributarios y cotizaciones sociales</t>
  </si>
  <si>
    <t>CUENTA DEL RESULTADO ECONÓMICO PATRIMONIAL</t>
  </si>
  <si>
    <t>COBERTURA DE LOS GASTOS CORRIENTES</t>
  </si>
  <si>
    <t>Ingresos de gestión ordinaria</t>
  </si>
  <si>
    <t>Gastos de gestion ordinaria</t>
  </si>
  <si>
    <t>Pone de manifiesto la relación existente entre los gastos de gestión ordinaria con los ingresos de la misma naturaleza.</t>
  </si>
  <si>
    <t xml:space="preserve">3) Cobertura de los gastos corrientes: </t>
  </si>
  <si>
    <t>TOTAL GGOR</t>
  </si>
  <si>
    <t>Resto GGOR/GGOR</t>
  </si>
  <si>
    <t>Aprov./GGOR</t>
  </si>
  <si>
    <t>Tranfs./GGOR</t>
  </si>
  <si>
    <t>G. Pers./GGOR</t>
  </si>
  <si>
    <t>Resto GGOR</t>
  </si>
  <si>
    <t>Aprov.</t>
  </si>
  <si>
    <t>Tranfs.</t>
  </si>
  <si>
    <t>G. Pers.</t>
  </si>
  <si>
    <t>Gastos de gestión ordinaria (GGOR)</t>
  </si>
  <si>
    <t>2) Estructura de los gastos.</t>
  </si>
  <si>
    <t>TOTAL IGOR</t>
  </si>
  <si>
    <t>Resto IGOR/IGOR</t>
  </si>
  <si>
    <t>VN y PS/IGOR</t>
  </si>
  <si>
    <t>Tranfs./IGOR</t>
  </si>
  <si>
    <t>Ing. Trib./IGOR</t>
  </si>
  <si>
    <t>Resto IGOR</t>
  </si>
  <si>
    <t>VN y PS</t>
  </si>
  <si>
    <t>Ing. Trib</t>
  </si>
  <si>
    <t>Ingresos de gestión ordinaria (IGOR)</t>
  </si>
  <si>
    <t>1) Estructura de los ingresos.</t>
  </si>
  <si>
    <t>APROV.: Aprovisionamientos.</t>
  </si>
  <si>
    <t>G. PERS.: Gastos de personal.</t>
  </si>
  <si>
    <t>VN y PS.: Ventas netas y prestación de servicios.</t>
  </si>
  <si>
    <t>TRANS.: Transferencias y subvenciones recibidas.</t>
  </si>
  <si>
    <t>ING. TRIB.: Ingresos tributarios y cotizaciones.</t>
  </si>
  <si>
    <t>Para la elaboración de los siguientes ratios se tendrán en cuenta las equivalencias con los correspondientes epígrafes de la cuenta del resultado económico patrimonial de la entidad:</t>
  </si>
  <si>
    <t>RATIOS DE LA CUENTA DEL RESULTADO ECONÓMICO PATRIMONIAL:</t>
  </si>
  <si>
    <t>Flujos netos de gestión: Importe de «flujos netos de efectivo por actividades de gestión» del estado de flujos de efectivo.</t>
  </si>
  <si>
    <t>Pasivo no corriente/Flujos netos de gestión + Pasivo corriente/Flujos netos de gestión</t>
  </si>
  <si>
    <t>INDICADOR DE CASH-FLOW</t>
  </si>
  <si>
    <t>Flujos netos de gestión</t>
  </si>
  <si>
    <t>)</t>
  </si>
  <si>
    <t>Pasivo corriente)</t>
  </si>
  <si>
    <t>+</t>
  </si>
  <si>
    <t>(</t>
  </si>
  <si>
    <t>(Pasivo no corriente +</t>
  </si>
  <si>
    <t xml:space="preserve"> Refleja en que medida los flujos netos de gestión de caja cubren el pasivo de la entidad.</t>
  </si>
  <si>
    <t>«CASH-FLOW»:</t>
  </si>
  <si>
    <t>RELACIÓN DE ENDEUDAMIENTO</t>
  </si>
  <si>
    <t>Pasivo no corriente</t>
  </si>
  <si>
    <t>Pasivo corriente</t>
  </si>
  <si>
    <t>Representa la relación existente entre el pasivo corriente y el no corriente.</t>
  </si>
  <si>
    <t xml:space="preserve">RELACIÓN DE ENDEUDAMIENTO: </t>
  </si>
  <si>
    <t>ENDEUDAMIENTO</t>
  </si>
  <si>
    <t>Patrimonio neto)</t>
  </si>
  <si>
    <t>Pasivo no corriente +</t>
  </si>
  <si>
    <t>(Pasivo corriente +</t>
  </si>
  <si>
    <t>Pasivo no corriente)</t>
  </si>
  <si>
    <t>Representa la relación entre la totalidad del pasivo exigible (corriente y no corriente) respecto al patrimonio neto más el pasivo total de la entidad.</t>
  </si>
  <si>
    <t xml:space="preserve">ENDEUDAMIENTO: </t>
  </si>
  <si>
    <t>INDICADOR DE LIQUIDEZ GENERAL</t>
  </si>
  <si>
    <t>Activo corriente</t>
  </si>
  <si>
    <t>Refleja en qué medida todos los elementos patrimoniales que componen el activo corriente cubren el pasivo corriente.</t>
  </si>
  <si>
    <t>Liquidez general:</t>
  </si>
  <si>
    <t>INDICADOR DE LIQUIDEZ A CORTO PLAZO</t>
  </si>
  <si>
    <t>Pasivo Corriente</t>
  </si>
  <si>
    <t>Deudores por operaciones de gestión)</t>
  </si>
  <si>
    <t>( Fondos líquidos +</t>
  </si>
  <si>
    <t>Refleja la capacidad que tiene la entidad para atender a corto plazo sus obligaciones pendientes de pago.</t>
  </si>
  <si>
    <t>Liquidez a corto plazo:</t>
  </si>
  <si>
    <t>INDICADOR DE LIQUIDEZ INMEDIATA</t>
  </si>
  <si>
    <t>Fondos líquidos</t>
  </si>
  <si>
    <t>Refleja el porcentaje de deudas presupuestarias y no presupuestarias que pueden atenderse con la liquidez inmediatamente disponible.</t>
  </si>
  <si>
    <t>Liquidez inmediata:</t>
  </si>
  <si>
    <t>REALIZACIÓN DE COBROS</t>
  </si>
  <si>
    <t>Saldo inicial de derechos (+/- modificaciones y anulaciones)</t>
  </si>
  <si>
    <t>Cobros</t>
  </si>
  <si>
    <t>Pone de manifiesto la proporción de cobros que se han efectuado en el ejercicio relativos a derechos pendientes de cobro de presupuestos ya cerrados.</t>
  </si>
  <si>
    <t>2) REALIZACIÓN DE COBROS</t>
  </si>
  <si>
    <t>REALIZACIÓN DE PAGOS</t>
  </si>
  <si>
    <t>Saldo inicial de obligaciones (+/-modificaciones y anulaciones)</t>
  </si>
  <si>
    <t>Pagos realizados</t>
  </si>
  <si>
    <t>Pone de manifiesto la proporción de pagos que se han efectuado en el ejercicio de las obligaciones pendientes de pago de presupuestos ya cerrados.</t>
  </si>
  <si>
    <t>1) REALIZACIÓN DE PAGOS</t>
  </si>
  <si>
    <t>c) De presupuestos cerrados</t>
  </si>
  <si>
    <t>PERIODO MEDIO DE COBRO (DÍAS)</t>
  </si>
  <si>
    <t>Derechos reconocidos netos</t>
  </si>
  <si>
    <t xml:space="preserve">   X 365 </t>
  </si>
  <si>
    <t>Derechos pendientes de cobro</t>
  </si>
  <si>
    <t>Refleja el número de días que por término medio tarda la entidad en cobrar sus ingresos, es decir, en recaudar sus derechos reconocidos derivados de la ejecución del presupuesto.</t>
  </si>
  <si>
    <t>3) PERIODO MEDIO DE COBRO</t>
  </si>
  <si>
    <t>Recaudación neta</t>
  </si>
  <si>
    <t>Recoge el porcentaje que suponen los cobros obtenidos en el ejercicio sobre los derechos reconocidos netos.</t>
  </si>
  <si>
    <t>EJECUCION DEL PRESUPUESTO DE INGRESOS</t>
  </si>
  <si>
    <t>Previsiones definitivas</t>
  </si>
  <si>
    <t>Refleja la proporción que sobre los ingresos presupuestarios previstos suponen ingresos presupuestarios netos, esto es, los derechos liquidados netos.</t>
  </si>
  <si>
    <t>1) EJECUCIÓN DEL PRESUPUESTO DE INGRESOS</t>
  </si>
  <si>
    <t xml:space="preserve">b) Del presupuesto de ingresos corriente: </t>
  </si>
  <si>
    <t>PERIODO MEDIO DE PAGO (DÍAS)</t>
  </si>
  <si>
    <t>Obligaciones reconocidas netas</t>
  </si>
  <si>
    <t xml:space="preserve">     X365</t>
  </si>
  <si>
    <t>Obligaciones pendientes de pago</t>
  </si>
  <si>
    <t>Refleja el tiempo medio que la entidad tarda en pagar a sus acreedores derivados de la ejecución del presupuesto.</t>
  </si>
  <si>
    <t>4) PERIODO MEDIO DE PAGO</t>
  </si>
  <si>
    <t>ESFUERZO INVERSOR</t>
  </si>
  <si>
    <t>Obligaciones reconocidas netas (Capítulos VI y VII)</t>
  </si>
  <si>
    <t>Establece la proporción que representan las operaciones de capital realizadas en el ejercicio en relación con la totalidad de los gastos presupuestarios realizados en el mismo.</t>
  </si>
  <si>
    <t xml:space="preserve">3) ESFUERZO INVERSOR: </t>
  </si>
  <si>
    <t>REALIZACION DE PAGOS</t>
  </si>
  <si>
    <t>Refleja la proporción de obligaciones reconocidas en ejercicio cuyo pago ya se ha realizado al finalizar el mismo con respecto al total de obligaciones reconocidas.</t>
  </si>
  <si>
    <t xml:space="preserve">2) REALIZACIÓN DE PAGOS: </t>
  </si>
  <si>
    <t>EJECUCION DEL PRESUPUESTO DE GASTOS</t>
  </si>
  <si>
    <t>Creditos totales</t>
  </si>
  <si>
    <t>Refleja la proporción de los créditos aprobados en el ejercicio que han dado lugar a reconocimiento de obligaciones presupuestarias.</t>
  </si>
  <si>
    <t>1) EJECUCIÓN DEL PRESUPUESTO DE GASTOS:</t>
  </si>
  <si>
    <t>a) Del presupuesto de gastos corriente:</t>
  </si>
  <si>
    <t>31.12.2022</t>
  </si>
  <si>
    <t>31.12.2021</t>
  </si>
  <si>
    <t>31.12.2020</t>
  </si>
  <si>
    <t xml:space="preserve">% </t>
  </si>
  <si>
    <t>Importe M€</t>
  </si>
  <si>
    <t>Variación</t>
  </si>
  <si>
    <t>Tesorería M€</t>
  </si>
  <si>
    <t xml:space="preserve">Fecha </t>
  </si>
  <si>
    <t>TOTAL</t>
  </si>
  <si>
    <t xml:space="preserve">FIANZAS RECIBIDAS A CORTO PLAZO </t>
  </si>
  <si>
    <t>DEUDAS CONVERTIBLES EN SUBVENCIONES</t>
  </si>
  <si>
    <t>INNOCAMPUS 2010 UPM CEI10</t>
  </si>
  <si>
    <t>INFRAESTRUCTURAS 2019 EQC 2019</t>
  </si>
  <si>
    <t>INFRAESTRUCTURAS 2018 EQC2018</t>
  </si>
  <si>
    <t>INFRAESTRUCTURAS 2015 UCMA15</t>
  </si>
  <si>
    <t>CAMPUS EXCELENCIA 2010</t>
  </si>
  <si>
    <t>Disminuciones</t>
  </si>
  <si>
    <t>Creaciones</t>
  </si>
  <si>
    <t>PROYECTOS GENERACIÓN DE CONOCIMIENTO 2022 PIDD-22</t>
  </si>
  <si>
    <t>PROYECTOS GENERACIÓN DE CONOCIMIENTO 2021 PR40-21</t>
  </si>
  <si>
    <t>AYUDAS A INFRAESTRUCTURAS Y EQUIPAMIENTO CIENTÍFICO-TÉCNICO UCMA13</t>
  </si>
  <si>
    <t>RETOS COLABORACIÓN 2017</t>
  </si>
  <si>
    <t>RETOS COLABORACIÓN 2016</t>
  </si>
  <si>
    <t>RETOS COLABORACIÓN 2015</t>
  </si>
  <si>
    <t>AYUDAS A PROYECTOS DE I+D PR9/16 (FEDER)</t>
  </si>
  <si>
    <t>RETOS INVESTIGACIÓN: PROYECTOS I+D+I PR38/15 (FEDER)</t>
  </si>
  <si>
    <t>CAMPUS EXCELENCIA 2009</t>
  </si>
  <si>
    <t>PRESTAMOS Y OTROS ANTICIPOS REEMBOLSABLES</t>
  </si>
  <si>
    <t>(13)=(2)+(5)-(7)+(9)</t>
  </si>
  <si>
    <t>(12)=(1)+(3)-(4)+(6)+(8)-(10)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</si>
  <si>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</si>
  <si>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</si>
  <si>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</si>
  <si>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</si>
  <si>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</si>
  <si>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</si>
  <si>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</si>
  <si>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</si>
  <si>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</si>
  <si>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</si>
  <si>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</si>
  <si>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Intereses explícitos</t>
  </si>
  <si>
    <t>Coste amortizado</t>
  </si>
  <si>
    <t>Resultado</t>
  </si>
  <si>
    <t>Valor Contable</t>
  </si>
  <si>
    <t>De intereses explícitos</t>
  </si>
  <si>
    <t>Del coste amortizado</t>
  </si>
  <si>
    <t>Resto</t>
  </si>
  <si>
    <t>Explícitos</t>
  </si>
  <si>
    <t>Gastos</t>
  </si>
  <si>
    <t>Efectivo</t>
  </si>
  <si>
    <t xml:space="preserve"> Intereses explícitos</t>
  </si>
  <si>
    <t xml:space="preserve">Coste amortizado </t>
  </si>
  <si>
    <t>Deuda al 31 diciembre</t>
  </si>
  <si>
    <t>Diferencias de cambio</t>
  </si>
  <si>
    <t>Intereses cancelados</t>
  </si>
  <si>
    <t>Intereses devengados según T.I.E.</t>
  </si>
  <si>
    <t>Deuda al 1 enero</t>
  </si>
  <si>
    <t>T.I.E.</t>
  </si>
  <si>
    <t>Identificación de la deuda</t>
  </si>
  <si>
    <t xml:space="preserve">SITUACIÓN Y MOVIMIENTOS DE LAS DEUDAS </t>
  </si>
  <si>
    <t xml:space="preserve">Deudas a valor razonable </t>
  </si>
  <si>
    <t>Deudas a coste amortizado</t>
  </si>
  <si>
    <t>Otras deudas</t>
  </si>
  <si>
    <t>Corto Plazo</t>
  </si>
  <si>
    <t xml:space="preserve">Largo Plazo </t>
  </si>
  <si>
    <t xml:space="preserve">Categoría Clase </t>
  </si>
  <si>
    <t>PASIVOS FINANCIEROS</t>
  </si>
  <si>
    <t>BALANCE CONSOLIDADO</t>
  </si>
  <si>
    <t>Notas en memoria</t>
  </si>
  <si>
    <t>2. Otro Inmovilizado Intangible</t>
  </si>
  <si>
    <t>1. Reservas</t>
  </si>
  <si>
    <t>2. Resultados de ejercicios anteriores</t>
  </si>
  <si>
    <t>1. Terrenos y Construcciones</t>
  </si>
  <si>
    <t> 3. Resultados de ejercicio atribuidos a la entidad dominante</t>
  </si>
  <si>
    <t>2. Infraestructuras y Bienes del patrimonio histórico</t>
  </si>
  <si>
    <t>3. Otro inmovilizado material</t>
  </si>
  <si>
    <t>4. Inmovilizado en curso y anticipos</t>
  </si>
  <si>
    <t>III. INVERSIONES INMOBILIARIAS</t>
  </si>
  <si>
    <t>13 </t>
  </si>
  <si>
    <t>IV. INVERSIONES FINANCIERAS A LARGO PLAZO EN ENTIDADES DEL GRUPO, MULTIGRUPO Y ASOCIADAS</t>
  </si>
  <si>
    <t> 6 y 10</t>
  </si>
  <si>
    <t>1. Participaciones puestas en equivalencia</t>
  </si>
  <si>
    <t>3. Otras deudas</t>
  </si>
  <si>
    <t xml:space="preserve">V. INVERSIONES FINANCIERAS A L/P </t>
  </si>
  <si>
    <t>1. Obligaciones y otros valores negociables</t>
  </si>
  <si>
    <t>III. DEUDAS CON ENTIDADES DEL GRUPO, MULTIGRUPO Y ASOCIADAS A CORTO PLAZO</t>
  </si>
  <si>
    <t>2. Otras deudas</t>
  </si>
  <si>
    <t>VI. AJUSTES POR PERIODIFICACIÓN</t>
  </si>
  <si>
    <t>TOTAL PATRIMONIO NETO (A + B + C)</t>
  </si>
  <si>
    <t>CUENTA DEL RESULTADO ECONÓMICO PATRIMONIAL CONSOLIDADA</t>
  </si>
  <si>
    <t>2023</t>
  </si>
  <si>
    <t>a) Ingresos tributarios</t>
  </si>
  <si>
    <t>b) Imputación de subvenciones para el inmovilizado no financiero</t>
  </si>
  <si>
    <t>c) Imputación de subvenciones para activos corrientes y otras</t>
  </si>
  <si>
    <t>6. Otros ingresos de gestión ordinaria</t>
  </si>
  <si>
    <t>a) Consumo de mercaderías, materias primas y otros aprovisionamientos</t>
  </si>
  <si>
    <t>II. RESULTADO DE LAS OPERACIONES NO FINANCIERAS (I+13+14+15+16)</t>
  </si>
  <si>
    <t>17. Ingresos financieros</t>
  </si>
  <si>
    <t>18. Gastos financieros</t>
  </si>
  <si>
    <t>21. Diferencias de cambio</t>
  </si>
  <si>
    <t>22. Deterioro de valor, bajas y enajenaciones de activos y pasivos financieros</t>
  </si>
  <si>
    <t>III. RESULTADO DE LAS OPERACIONES FINANCIERAS (17+18+19+20+21+22)</t>
  </si>
  <si>
    <t>23. Participación en beneficios (pérdidas) de entidades puestas en equivalencia</t>
  </si>
  <si>
    <t>IV. Resultado del ejercicio procedente de operaciones interrumpidas neto de impuestos</t>
  </si>
  <si>
    <t>INMOVILIZADO MATERIAL</t>
  </si>
  <si>
    <t xml:space="preserve">COSTE </t>
  </si>
  <si>
    <t>PARTIDA</t>
  </si>
  <si>
    <t>Terrenos</t>
  </si>
  <si>
    <t>Construcciones</t>
  </si>
  <si>
    <t>Construc Saldo Ap/02</t>
  </si>
  <si>
    <t>B Patr.Histórico</t>
  </si>
  <si>
    <t>Patrimonio histórico</t>
  </si>
  <si>
    <t>Instalac. técnicas</t>
  </si>
  <si>
    <t>Mat.C. Saldo Ap/02</t>
  </si>
  <si>
    <t>Instalaciones técnicas</t>
  </si>
  <si>
    <t>Maquinaria</t>
  </si>
  <si>
    <t>Maquinaria leasing</t>
  </si>
  <si>
    <t>Utillaje</t>
  </si>
  <si>
    <t>Mobiliario</t>
  </si>
  <si>
    <t>Equip.proc.informac.</t>
  </si>
  <si>
    <t>Equipos para procesos informáticos</t>
  </si>
  <si>
    <t>Elementos transporte</t>
  </si>
  <si>
    <t>Elementos de transporte</t>
  </si>
  <si>
    <t>Construccs. en curso</t>
  </si>
  <si>
    <t>Construcciones en curso</t>
  </si>
  <si>
    <t>AMORTIZACIÓN ACUMULADA</t>
  </si>
  <si>
    <t>Amor.acum const.</t>
  </si>
  <si>
    <t>amort. construcc2002</t>
  </si>
  <si>
    <t>Difer.Amo.Cons.03-04</t>
  </si>
  <si>
    <t>Amor.Acum.Ins.Tecn.</t>
  </si>
  <si>
    <t>amort.mat.cient.2002</t>
  </si>
  <si>
    <t>Amor. Acum. Maquin.</t>
  </si>
  <si>
    <t>Amor. Acum. Utillaje</t>
  </si>
  <si>
    <t>Amor. Acum. Mobilari</t>
  </si>
  <si>
    <t>Amor. Acum. Equip.In</t>
  </si>
  <si>
    <t>Amor.Acum.Elem.Trans</t>
  </si>
  <si>
    <t>VALOR NETO CONTABLE</t>
  </si>
  <si>
    <t>DOTACIÓN AMORTZ. DEL EJERCICIO</t>
  </si>
  <si>
    <t>INMOVILIZADO INTANGIBLE</t>
  </si>
  <si>
    <t>COSTE</t>
  </si>
  <si>
    <t>Aplicaciones Informáticas</t>
  </si>
  <si>
    <t>Gastos de I+D</t>
  </si>
  <si>
    <t>CUENTA</t>
  </si>
  <si>
    <t>Núm. Cuentas</t>
  </si>
  <si>
    <t>215, (2815)</t>
  </si>
  <si>
    <t>221, (2821)</t>
  </si>
  <si>
    <t xml:space="preserve">  222,223,224, 226,227,228,(2822) (2823),(2824), (2826),(2827),(2828)</t>
  </si>
  <si>
    <t>170, 171, 172</t>
  </si>
  <si>
    <t>4.Otras inversiones</t>
  </si>
  <si>
    <t>440, 555, 558</t>
  </si>
  <si>
    <t>400, 408, 409</t>
  </si>
  <si>
    <t>410, 413,419, 554</t>
  </si>
  <si>
    <t xml:space="preserve"> 475, 476</t>
  </si>
  <si>
    <t xml:space="preserve">Número  Cuentas </t>
  </si>
  <si>
    <t>701, 705, 741</t>
  </si>
  <si>
    <t>775, 777,790</t>
  </si>
  <si>
    <t>[651], [656]</t>
  </si>
  <si>
    <t>[620], [621], [622], [623], [624], [625], [627], [628], [629]</t>
  </si>
  <si>
    <t>[630], [634],  [639]</t>
  </si>
  <si>
    <t xml:space="preserve">[681], [682] </t>
  </si>
  <si>
    <t xml:space="preserve">773, 778 </t>
  </si>
  <si>
    <t>[671],  [678]</t>
  </si>
  <si>
    <t>[662], [669]</t>
  </si>
  <si>
    <t>796, [694]</t>
  </si>
  <si>
    <t xml:space="preserve"> </t>
  </si>
  <si>
    <t>INFRAESTRUCTURAS Y EQUIPAMIENTO CIENTÍFICO-TÉCNICO - CPP2023</t>
  </si>
  <si>
    <t>INFRAESTRUCTURAS 2024 EQC 2024</t>
  </si>
  <si>
    <t>PROYECTOS GENERACIÓN DE CONOCIMIENTO 2023 PIDD-23</t>
  </si>
  <si>
    <t>2024</t>
  </si>
  <si>
    <t>V. Resultado (Ahorro o desahorro) consolidado del ejercicio (II + III+23+24+25+IV)</t>
  </si>
  <si>
    <t>SALDO A 01-01-2024</t>
  </si>
  <si>
    <t>ENTRADAS 2024</t>
  </si>
  <si>
    <t>SALIDAS 2024</t>
  </si>
  <si>
    <t>SALDO A 31-12-2024</t>
  </si>
  <si>
    <t>VALOR A 31-12-2024</t>
  </si>
  <si>
    <t>AMORTIZ. ACUMULADA A 31-12-2024</t>
  </si>
  <si>
    <t>VALOR NETO CONTABLE A 31-12-2024</t>
  </si>
  <si>
    <t>AMORTIZ. ACUMULADA A 31-12-24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</si>
</sst>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€_-;\-* #,##0.00\ _€_-;_-* &quot;-&quot;??\ _€_-;_-@_-"/>
    <numFmt numFmtId="164" formatCode="_-* #,##0.00_-;\-* #,##0.00_-;_-* &quot;-&quot;??_-;_-@_-"/>
    <numFmt numFmtId="165" formatCode="#,##0.00_ ;\-#,##0.00\ "/>
    <numFmt numFmtId="166" formatCode="_-* #,##0.00\ _€_-;\-* #,##0.00\ _€_-;_-* &quot;-&quot;?\ _€_-;_-@_-"/>
    <numFmt numFmtId="167" formatCode="0.0%"/>
    <numFmt numFmtId="168" formatCode="#,##0.00_ ;[Red]\-#,##0.00\ "/>
    <numFmt numFmtId="169" formatCode="0.00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sz val="9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name val="Calibri"/>
      <family val="2"/>
    </font>
    <font>
      <sz val="10"/>
      <name val="Arial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 Light"/>
      <family val="2"/>
    </font>
    <font>
      <sz val="11"/>
      <name val="Arial"/>
      <family val="2"/>
    </font>
    <font>
      <b/>
      <sz val="11"/>
      <color rgb="FF0070C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 Light"/>
      <family val="2"/>
      <scheme val="maj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E3ED"/>
        <bgColor indexed="64"/>
      </patternFill>
    </fill>
    <fill>
      <patternFill patternType="solid">
        <fgColor rgb="FFF1F7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ck">
        <color theme="4" tint="0.59996337778862885"/>
      </right>
      <top/>
      <bottom style="thick">
        <color theme="4" tint="0.59996337778862885"/>
      </bottom>
      <diagonal/>
    </border>
    <border>
      <left/>
      <right/>
      <top/>
      <bottom style="thick">
        <color theme="4" tint="0.59996337778862885"/>
      </bottom>
      <diagonal/>
    </border>
    <border>
      <left style="thick">
        <color theme="4" tint="0.59996337778862885"/>
      </left>
      <right/>
      <top/>
      <bottom style="thick">
        <color theme="4" tint="0.59996337778862885"/>
      </bottom>
      <diagonal/>
    </border>
    <border>
      <left/>
      <right style="thick">
        <color theme="4" tint="0.59996337778862885"/>
      </right>
      <top/>
      <bottom/>
      <diagonal/>
    </border>
    <border>
      <left style="thick">
        <color theme="4" tint="0.59996337778862885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/>
      <diagonal/>
    </border>
    <border>
      <left/>
      <right/>
      <top style="thick">
        <color theme="4" tint="0.59996337778862885"/>
      </top>
      <bottom/>
      <diagonal/>
    </border>
    <border>
      <left style="thick">
        <color theme="4" tint="0.59996337778862885"/>
      </left>
      <right/>
      <top style="thick">
        <color theme="4" tint="0.59996337778862885"/>
      </top>
      <bottom/>
      <diagonal/>
    </border>
    <border>
      <left style="thick">
        <color theme="4" tint="0.59996337778862885"/>
      </left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/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 style="medium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CCFF"/>
      </left>
      <right style="thin">
        <color rgb="FF99CCFF"/>
      </right>
      <top style="thin">
        <color rgb="FF99CCFF"/>
      </top>
      <bottom style="thin">
        <color rgb="FF99CCFF"/>
      </bottom>
      <diagonal/>
    </border>
    <border>
      <left style="medium">
        <color indexed="64"/>
      </left>
      <right/>
      <top style="medium">
        <color rgb="FF0070C0"/>
      </top>
      <bottom style="medium">
        <color rgb="FF0070C0"/>
      </bottom>
      <diagonal/>
    </border>
    <border>
      <left style="medium">
        <color indexed="64"/>
      </left>
      <right/>
      <top style="medium">
        <color rgb="FF0070C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70C0"/>
      </bottom>
      <diagonal/>
    </border>
    <border>
      <left style="thick">
        <color rgb="FF0070C0"/>
      </left>
      <right/>
      <top style="medium">
        <color rgb="FF0070C0"/>
      </top>
      <bottom style="thick">
        <color rgb="FF0070C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1">
    <xf numFmtId="0" fontId="0" fillId="0" borderId="0"/>
    <xf numFmtId="0" fontId="1" fillId="0" borderId="0"/>
    <xf numFmtId="0" fontId="11" fillId="0" borderId="0"/>
    <xf numFmtId="43" fontId="5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0" fontId="16" fillId="0" borderId="0"/>
    <xf numFmtId="9" fontId="5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9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4" fontId="6" fillId="0" borderId="1" xfId="1" applyNumberFormat="1" applyFont="1" applyBorder="1" applyAlignment="1">
      <alignment horizontal="right" vertical="center" wrapText="1"/>
    </xf>
    <xf numFmtId="0" fontId="6" fillId="0" borderId="1" xfId="1" applyFont="1" applyBorder="1" applyAlignment="1">
      <alignment horizontal="justify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 wrapText="1"/>
    </xf>
    <xf numFmtId="0" fontId="8" fillId="4" borderId="1" xfId="1" applyFont="1" applyFill="1" applyBorder="1" applyAlignment="1">
      <alignment vertical="center" wrapText="1"/>
    </xf>
    <xf numFmtId="0" fontId="9" fillId="4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9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11" fillId="0" borderId="0" xfId="2"/>
    <xf numFmtId="43" fontId="3" fillId="3" borderId="1" xfId="3" applyFont="1" applyFill="1" applyBorder="1" applyAlignment="1">
      <alignment horizontal="center" vertical="center" wrapText="1"/>
    </xf>
    <xf numFmtId="43" fontId="6" fillId="0" borderId="1" xfId="3" applyFont="1" applyBorder="1" applyAlignment="1">
      <alignment horizontal="center" vertical="center" wrapText="1"/>
    </xf>
    <xf numFmtId="43" fontId="3" fillId="0" borderId="1" xfId="3" applyFont="1" applyBorder="1" applyAlignment="1">
      <alignment horizontal="center" vertical="center" wrapText="1"/>
    </xf>
    <xf numFmtId="43" fontId="8" fillId="0" borderId="1" xfId="3" applyFont="1" applyBorder="1" applyAlignment="1">
      <alignment vertical="center" wrapText="1"/>
    </xf>
    <xf numFmtId="43" fontId="8" fillId="4" borderId="1" xfId="3" applyFont="1" applyFill="1" applyBorder="1" applyAlignment="1">
      <alignment vertical="center" wrapText="1"/>
    </xf>
    <xf numFmtId="0" fontId="12" fillId="0" borderId="0" xfId="4" applyFont="1" applyBorder="1"/>
    <xf numFmtId="164" fontId="12" fillId="0" borderId="0" xfId="5" applyFont="1" applyBorder="1"/>
    <xf numFmtId="0" fontId="13" fillId="0" borderId="0" xfId="4" applyFont="1" applyFill="1" applyBorder="1" applyAlignment="1">
      <alignment wrapText="1"/>
    </xf>
    <xf numFmtId="0" fontId="8" fillId="0" borderId="0" xfId="4" applyFont="1" applyBorder="1" applyAlignment="1">
      <alignment wrapText="1"/>
    </xf>
    <xf numFmtId="0" fontId="8" fillId="0" borderId="2" xfId="4" applyFont="1" applyBorder="1" applyAlignment="1">
      <alignment vertical="center" wrapText="1"/>
    </xf>
    <xf numFmtId="0" fontId="8" fillId="0" borderId="2" xfId="4" applyFont="1" applyBorder="1" applyAlignment="1">
      <alignment horizontal="center" vertical="center" wrapText="1"/>
    </xf>
    <xf numFmtId="0" fontId="10" fillId="0" borderId="2" xfId="1" applyFont="1" applyBorder="1" applyAlignment="1">
      <alignment vertical="center" wrapText="1"/>
    </xf>
    <xf numFmtId="0" fontId="14" fillId="0" borderId="2" xfId="4" applyFont="1" applyBorder="1" applyAlignment="1">
      <alignment horizontal="right" vertical="center" wrapText="1"/>
    </xf>
    <xf numFmtId="0" fontId="9" fillId="0" borderId="2" xfId="4" applyFont="1" applyBorder="1" applyAlignment="1">
      <alignment horizontal="right" vertical="center" wrapText="1"/>
    </xf>
    <xf numFmtId="0" fontId="8" fillId="0" borderId="2" xfId="6" applyFont="1" applyBorder="1" applyAlignment="1">
      <alignment vertical="center" wrapText="1"/>
    </xf>
    <xf numFmtId="0" fontId="18" fillId="0" borderId="0" xfId="2" applyFont="1"/>
    <xf numFmtId="0" fontId="18" fillId="0" borderId="0" xfId="2" applyFont="1" applyFill="1"/>
    <xf numFmtId="165" fontId="18" fillId="4" borderId="0" xfId="3" applyNumberFormat="1" applyFont="1" applyFill="1" applyBorder="1" applyAlignment="1" applyProtection="1">
      <protection locked="0"/>
    </xf>
    <xf numFmtId="165" fontId="18" fillId="4" borderId="10" xfId="3" applyNumberFormat="1" applyFont="1" applyFill="1" applyBorder="1" applyAlignment="1" applyProtection="1">
      <protection locked="0"/>
    </xf>
    <xf numFmtId="10" fontId="18" fillId="4" borderId="0" xfId="7" applyNumberFormat="1" applyFont="1" applyFill="1" applyBorder="1" applyAlignment="1">
      <alignment horizontal="center" vertical="center"/>
    </xf>
    <xf numFmtId="10" fontId="18" fillId="4" borderId="14" xfId="7" applyNumberFormat="1" applyFont="1" applyFill="1" applyBorder="1" applyAlignment="1">
      <alignment horizontal="center" vertical="center"/>
    </xf>
    <xf numFmtId="43" fontId="18" fillId="4" borderId="14" xfId="3" applyFont="1" applyFill="1" applyBorder="1" applyAlignment="1">
      <alignment horizontal="center" vertical="center"/>
    </xf>
    <xf numFmtId="43" fontId="18" fillId="4" borderId="6" xfId="3" applyFont="1" applyFill="1" applyBorder="1"/>
    <xf numFmtId="43" fontId="18" fillId="4" borderId="0" xfId="3" applyFont="1" applyFill="1" applyBorder="1" applyAlignment="1">
      <alignment horizontal="center"/>
    </xf>
    <xf numFmtId="0" fontId="1" fillId="0" borderId="0" xfId="8"/>
    <xf numFmtId="0" fontId="1" fillId="4" borderId="0" xfId="8" applyFill="1"/>
    <xf numFmtId="0" fontId="1" fillId="4" borderId="5" xfId="8" applyFill="1" applyBorder="1"/>
    <xf numFmtId="0" fontId="1" fillId="4" borderId="6" xfId="8" applyFill="1" applyBorder="1"/>
    <xf numFmtId="0" fontId="1" fillId="4" borderId="7" xfId="8" applyFill="1" applyBorder="1"/>
    <xf numFmtId="0" fontId="1" fillId="4" borderId="8" xfId="8" applyFill="1" applyBorder="1"/>
    <xf numFmtId="0" fontId="1" fillId="4" borderId="9" xfId="8" applyFill="1" applyBorder="1"/>
    <xf numFmtId="165" fontId="0" fillId="4" borderId="0" xfId="9" applyNumberFormat="1" applyFont="1" applyFill="1" applyBorder="1" applyAlignment="1" applyProtection="1">
      <protection locked="0"/>
    </xf>
    <xf numFmtId="165" fontId="0" fillId="4" borderId="10" xfId="9" applyNumberFormat="1" applyFont="1" applyFill="1" applyBorder="1" applyAlignment="1" applyProtection="1">
      <protection locked="0"/>
    </xf>
    <xf numFmtId="0" fontId="5" fillId="4" borderId="10" xfId="8" applyFont="1" applyFill="1" applyBorder="1"/>
    <xf numFmtId="0" fontId="1" fillId="4" borderId="10" xfId="8" applyFill="1" applyBorder="1"/>
    <xf numFmtId="0" fontId="20" fillId="4" borderId="9" xfId="8" applyFont="1" applyFill="1" applyBorder="1" applyAlignment="1">
      <alignment vertical="center"/>
    </xf>
    <xf numFmtId="0" fontId="1" fillId="4" borderId="11" xfId="8" applyFill="1" applyBorder="1"/>
    <xf numFmtId="0" fontId="1" fillId="4" borderId="12" xfId="8" applyFill="1" applyBorder="1"/>
    <xf numFmtId="0" fontId="20" fillId="4" borderId="13" xfId="8" applyFont="1" applyFill="1" applyBorder="1" applyAlignment="1">
      <alignment vertical="center"/>
    </xf>
    <xf numFmtId="0" fontId="21" fillId="4" borderId="0" xfId="8" applyFont="1" applyFill="1" applyAlignment="1">
      <alignment vertical="center"/>
    </xf>
    <xf numFmtId="0" fontId="22" fillId="4" borderId="0" xfId="8" applyFont="1" applyFill="1" applyAlignment="1">
      <alignment vertical="center"/>
    </xf>
    <xf numFmtId="166" fontId="1" fillId="4" borderId="0" xfId="3" applyNumberFormat="1" applyFont="1" applyFill="1" applyBorder="1" applyAlignment="1">
      <alignment horizontal="center"/>
    </xf>
    <xf numFmtId="43" fontId="1" fillId="4" borderId="0" xfId="3" applyFont="1" applyFill="1" applyBorder="1" applyAlignment="1">
      <alignment horizontal="center"/>
    </xf>
    <xf numFmtId="0" fontId="5" fillId="0" borderId="0" xfId="4" applyFont="1"/>
    <xf numFmtId="0" fontId="23" fillId="0" borderId="15" xfId="4" applyFont="1" applyBorder="1" applyAlignment="1">
      <alignment horizontal="center" vertical="center" wrapText="1"/>
    </xf>
    <xf numFmtId="0" fontId="5" fillId="4" borderId="0" xfId="4" applyFont="1" applyFill="1"/>
    <xf numFmtId="167" fontId="12" fillId="0" borderId="16" xfId="4" applyNumberFormat="1" applyFont="1" applyBorder="1" applyAlignment="1">
      <alignment horizontal="center" vertical="center" wrapText="1"/>
    </xf>
    <xf numFmtId="0" fontId="12" fillId="0" borderId="15" xfId="4" applyFont="1" applyBorder="1" applyAlignment="1">
      <alignment horizontal="center" vertical="center" wrapText="1"/>
    </xf>
    <xf numFmtId="167" fontId="12" fillId="0" borderId="17" xfId="4" applyNumberFormat="1" applyFont="1" applyBorder="1" applyAlignment="1">
      <alignment horizontal="center" vertical="center" wrapText="1"/>
    </xf>
    <xf numFmtId="0" fontId="12" fillId="0" borderId="18" xfId="4" applyFont="1" applyBorder="1" applyAlignment="1">
      <alignment horizontal="center" vertical="center" wrapText="1"/>
    </xf>
    <xf numFmtId="43" fontId="12" fillId="0" borderId="19" xfId="3" applyFont="1" applyBorder="1" applyAlignment="1">
      <alignment horizontal="center" vertical="center" wrapText="1"/>
    </xf>
    <xf numFmtId="43" fontId="12" fillId="0" borderId="20" xfId="3" applyFont="1" applyBorder="1" applyAlignment="1">
      <alignment horizontal="center" vertical="center" wrapText="1"/>
    </xf>
    <xf numFmtId="0" fontId="12" fillId="0" borderId="20" xfId="4" applyFont="1" applyBorder="1" applyAlignment="1">
      <alignment horizontal="center" vertical="center" wrapText="1"/>
    </xf>
    <xf numFmtId="0" fontId="24" fillId="5" borderId="21" xfId="4" applyFont="1" applyFill="1" applyBorder="1" applyAlignment="1">
      <alignment horizontal="center" vertical="center"/>
    </xf>
    <xf numFmtId="0" fontId="24" fillId="5" borderId="15" xfId="4" applyFont="1" applyFill="1" applyBorder="1" applyAlignment="1">
      <alignment horizontal="center" vertical="center"/>
    </xf>
    <xf numFmtId="0" fontId="9" fillId="3" borderId="2" xfId="4" applyFont="1" applyFill="1" applyBorder="1" applyAlignment="1">
      <alignment vertical="center"/>
    </xf>
    <xf numFmtId="0" fontId="9" fillId="0" borderId="2" xfId="4" applyFont="1" applyBorder="1" applyAlignment="1">
      <alignment vertical="center"/>
    </xf>
    <xf numFmtId="0" fontId="8" fillId="0" borderId="2" xfId="4" applyFont="1" applyBorder="1" applyAlignment="1">
      <alignment vertical="center"/>
    </xf>
    <xf numFmtId="169" fontId="25" fillId="0" borderId="2" xfId="11" applyNumberFormat="1" applyFont="1" applyBorder="1" applyAlignment="1">
      <alignment horizontal="center" vertical="center" wrapText="1"/>
    </xf>
    <xf numFmtId="169" fontId="26" fillId="0" borderId="2" xfId="4" applyNumberFormat="1" applyFont="1" applyBorder="1" applyAlignment="1">
      <alignment horizontal="center" vertical="center"/>
    </xf>
    <xf numFmtId="49" fontId="15" fillId="3" borderId="2" xfId="4" applyNumberFormat="1" applyFont="1" applyFill="1" applyBorder="1" applyAlignment="1">
      <alignment horizontal="center" vertical="center" wrapText="1"/>
    </xf>
    <xf numFmtId="164" fontId="15" fillId="3" borderId="2" xfId="12" applyFont="1" applyFill="1" applyBorder="1" applyAlignment="1">
      <alignment horizontal="center" vertical="center"/>
    </xf>
    <xf numFmtId="49" fontId="15" fillId="3" borderId="2" xfId="10" applyNumberFormat="1" applyFont="1" applyFill="1" applyBorder="1" applyAlignment="1">
      <alignment horizontal="center" vertical="center"/>
    </xf>
    <xf numFmtId="43" fontId="26" fillId="0" borderId="2" xfId="10" applyNumberFormat="1" applyFont="1" applyBorder="1" applyAlignment="1">
      <alignment horizontal="center" vertical="center"/>
    </xf>
    <xf numFmtId="49" fontId="1" fillId="0" borderId="2" xfId="10" applyNumberFormat="1" applyFont="1" applyBorder="1" applyAlignment="1">
      <alignment horizontal="left" vertical="center" wrapText="1"/>
    </xf>
    <xf numFmtId="164" fontId="26" fillId="0" borderId="2" xfId="12" applyFont="1" applyFill="1" applyBorder="1" applyAlignment="1">
      <alignment horizontal="center" vertical="center"/>
    </xf>
    <xf numFmtId="164" fontId="26" fillId="0" borderId="2" xfId="12" applyFont="1" applyBorder="1" applyAlignment="1">
      <alignment horizontal="center" vertical="center"/>
    </xf>
    <xf numFmtId="4" fontId="26" fillId="0" borderId="2" xfId="4" applyNumberFormat="1" applyFont="1" applyBorder="1" applyAlignment="1">
      <alignment horizontal="center" vertical="center"/>
    </xf>
    <xf numFmtId="168" fontId="5" fillId="0" borderId="0" xfId="4" applyNumberFormat="1" applyFont="1"/>
    <xf numFmtId="43" fontId="5" fillId="0" borderId="0" xfId="4" applyNumberFormat="1" applyFont="1"/>
    <xf numFmtId="0" fontId="28" fillId="3" borderId="1" xfId="1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43" fontId="30" fillId="0" borderId="1" xfId="14" applyFont="1" applyBorder="1" applyAlignment="1">
      <alignment horizontal="right" vertical="center" wrapText="1"/>
    </xf>
    <xf numFmtId="4" fontId="30" fillId="0" borderId="1" xfId="1" applyNumberFormat="1" applyFont="1" applyBorder="1" applyAlignment="1">
      <alignment horizontal="right" vertical="center" wrapText="1"/>
    </xf>
    <xf numFmtId="0" fontId="30" fillId="0" borderId="1" xfId="0" applyFont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right" vertical="center" wrapText="1"/>
    </xf>
    <xf numFmtId="0" fontId="31" fillId="0" borderId="1" xfId="1" applyFont="1" applyBorder="1" applyAlignment="1">
      <alignment vertical="center" wrapText="1"/>
    </xf>
    <xf numFmtId="0" fontId="30" fillId="0" borderId="1" xfId="1" applyFont="1" applyBorder="1" applyAlignment="1">
      <alignment horizontal="center" vertical="center" wrapText="1"/>
    </xf>
    <xf numFmtId="43" fontId="31" fillId="0" borderId="1" xfId="14" applyFont="1" applyBorder="1" applyAlignment="1">
      <alignment horizontal="right" vertical="center" wrapText="1"/>
    </xf>
    <xf numFmtId="4" fontId="31" fillId="0" borderId="1" xfId="1" applyNumberFormat="1" applyFont="1" applyBorder="1" applyAlignment="1">
      <alignment horizontal="right" vertical="center" wrapText="1"/>
    </xf>
    <xf numFmtId="164" fontId="29" fillId="0" borderId="1" xfId="5" applyFont="1" applyBorder="1" applyAlignment="1">
      <alignment horizontal="right" vertical="center" wrapText="1"/>
    </xf>
    <xf numFmtId="164" fontId="29" fillId="0" borderId="1" xfId="5" applyFont="1" applyFill="1" applyBorder="1" applyAlignment="1">
      <alignment horizontal="right" vertical="center" wrapText="1"/>
    </xf>
    <xf numFmtId="164" fontId="32" fillId="0" borderId="1" xfId="5" applyFont="1" applyBorder="1" applyAlignment="1">
      <alignment horizontal="right" vertical="center" wrapText="1"/>
    </xf>
    <xf numFmtId="0" fontId="30" fillId="3" borderId="1" xfId="1" applyFont="1" applyFill="1" applyBorder="1" applyAlignment="1">
      <alignment horizontal="left" vertical="center" wrapText="1"/>
    </xf>
    <xf numFmtId="164" fontId="30" fillId="3" borderId="1" xfId="5" applyFont="1" applyFill="1" applyBorder="1" applyAlignment="1">
      <alignment horizontal="left" vertical="center" wrapText="1"/>
    </xf>
    <xf numFmtId="4" fontId="9" fillId="0" borderId="2" xfId="4" applyNumberFormat="1" applyFont="1" applyBorder="1" applyAlignment="1">
      <alignment horizontal="right" vertical="center" wrapText="1"/>
    </xf>
    <xf numFmtId="4" fontId="8" fillId="0" borderId="2" xfId="4" applyNumberFormat="1" applyFont="1" applyBorder="1" applyAlignment="1">
      <alignment vertical="center" wrapText="1"/>
    </xf>
    <xf numFmtId="0" fontId="9" fillId="3" borderId="2" xfId="4" applyFont="1" applyFill="1" applyBorder="1" applyAlignment="1">
      <alignment horizontal="left" vertical="center" wrapText="1"/>
    </xf>
    <xf numFmtId="164" fontId="9" fillId="3" borderId="2" xfId="5" applyFont="1" applyFill="1" applyBorder="1" applyAlignment="1">
      <alignment vertical="center" wrapText="1"/>
    </xf>
    <xf numFmtId="0" fontId="33" fillId="0" borderId="0" xfId="0" applyFont="1"/>
    <xf numFmtId="164" fontId="33" fillId="0" borderId="0" xfId="5" applyFont="1"/>
    <xf numFmtId="0" fontId="18" fillId="4" borderId="13" xfId="0" applyFont="1" applyFill="1" applyBorder="1" applyAlignment="1">
      <alignment vertical="center"/>
    </xf>
    <xf numFmtId="0" fontId="18" fillId="4" borderId="12" xfId="0" applyFont="1" applyFill="1" applyBorder="1"/>
    <xf numFmtId="0" fontId="18" fillId="4" borderId="11" xfId="0" applyFont="1" applyFill="1" applyBorder="1"/>
    <xf numFmtId="0" fontId="18" fillId="4" borderId="9" xfId="0" applyFont="1" applyFill="1" applyBorder="1" applyAlignment="1">
      <alignment vertical="center"/>
    </xf>
    <xf numFmtId="0" fontId="18" fillId="4" borderId="10" xfId="0" applyFont="1" applyFill="1" applyBorder="1" applyAlignment="1">
      <alignment horizontal="left" vertical="top"/>
    </xf>
    <xf numFmtId="0" fontId="18" fillId="4" borderId="8" xfId="0" applyFont="1" applyFill="1" applyBorder="1"/>
    <xf numFmtId="0" fontId="18" fillId="4" borderId="9" xfId="0" applyFont="1" applyFill="1" applyBorder="1"/>
    <xf numFmtId="0" fontId="18" fillId="4" borderId="7" xfId="0" applyFont="1" applyFill="1" applyBorder="1"/>
    <xf numFmtId="0" fontId="18" fillId="4" borderId="6" xfId="0" applyFont="1" applyFill="1" applyBorder="1"/>
    <xf numFmtId="0" fontId="18" fillId="4" borderId="5" xfId="0" applyFont="1" applyFill="1" applyBorder="1"/>
    <xf numFmtId="0" fontId="18" fillId="4" borderId="10" xfId="0" applyFont="1" applyFill="1" applyBorder="1" applyAlignment="1">
      <alignment horizontal="left" vertical="center"/>
    </xf>
    <xf numFmtId="0" fontId="18" fillId="4" borderId="10" xfId="0" applyFont="1" applyFill="1" applyBorder="1"/>
    <xf numFmtId="0" fontId="19" fillId="4" borderId="14" xfId="0" applyFont="1" applyFill="1" applyBorder="1" applyAlignment="1">
      <alignment horizontal="center" vertical="center"/>
    </xf>
    <xf numFmtId="43" fontId="18" fillId="4" borderId="14" xfId="0" applyNumberFormat="1" applyFont="1" applyFill="1" applyBorder="1" applyAlignment="1">
      <alignment horizontal="center" vertical="center"/>
    </xf>
    <xf numFmtId="43" fontId="25" fillId="0" borderId="2" xfId="3" applyFont="1" applyFill="1" applyBorder="1" applyAlignment="1">
      <alignment horizontal="center" vertical="center"/>
    </xf>
    <xf numFmtId="43" fontId="24" fillId="0" borderId="27" xfId="3" applyFont="1" applyBorder="1"/>
    <xf numFmtId="43" fontId="24" fillId="0" borderId="26" xfId="3" applyFont="1" applyBorder="1"/>
    <xf numFmtId="43" fontId="12" fillId="0" borderId="35" xfId="3" applyFont="1" applyBorder="1" applyAlignment="1" applyProtection="1">
      <alignment horizontal="right" wrapText="1"/>
      <protection locked="0"/>
    </xf>
    <xf numFmtId="0" fontId="5" fillId="0" borderId="0" xfId="4" applyFont="1" applyFill="1" applyBorder="1"/>
    <xf numFmtId="0" fontId="5" fillId="0" borderId="36" xfId="4" applyFont="1" applyFill="1" applyBorder="1" applyAlignment="1">
      <alignment horizontal="center" vertical="center"/>
    </xf>
    <xf numFmtId="0" fontId="14" fillId="6" borderId="36" xfId="4" applyFont="1" applyFill="1" applyBorder="1"/>
    <xf numFmtId="0" fontId="24" fillId="0" borderId="0" xfId="4" applyFont="1"/>
    <xf numFmtId="0" fontId="13" fillId="6" borderId="36" xfId="4" applyFont="1" applyFill="1" applyBorder="1"/>
    <xf numFmtId="0" fontId="13" fillId="0" borderId="36" xfId="4" applyFont="1" applyFill="1" applyBorder="1"/>
    <xf numFmtId="0" fontId="5" fillId="0" borderId="0" xfId="4" applyFont="1" applyFill="1"/>
    <xf numFmtId="0" fontId="13" fillId="0" borderId="36" xfId="4" applyFont="1" applyFill="1" applyBorder="1" applyAlignment="1">
      <alignment horizontal="center"/>
    </xf>
    <xf numFmtId="0" fontId="5" fillId="0" borderId="37" xfId="4" applyFont="1" applyFill="1" applyBorder="1"/>
    <xf numFmtId="0" fontId="24" fillId="5" borderId="38" xfId="4" applyFont="1" applyFill="1" applyBorder="1" applyAlignment="1">
      <alignment horizontal="center"/>
    </xf>
    <xf numFmtId="0" fontId="5" fillId="0" borderId="36" xfId="4" applyFont="1" applyBorder="1" applyAlignment="1">
      <alignment horizontal="center" vertical="center"/>
    </xf>
    <xf numFmtId="0" fontId="5" fillId="0" borderId="36" xfId="4" applyFont="1" applyBorder="1"/>
    <xf numFmtId="0" fontId="5" fillId="0" borderId="37" xfId="4" applyFont="1" applyBorder="1"/>
    <xf numFmtId="0" fontId="34" fillId="5" borderId="24" xfId="4" applyFont="1" applyFill="1" applyBorder="1" applyAlignment="1"/>
    <xf numFmtId="0" fontId="5" fillId="0" borderId="28" xfId="4" applyFont="1" applyBorder="1" applyAlignment="1">
      <alignment horizontal="center" vertical="center"/>
    </xf>
    <xf numFmtId="0" fontId="5" fillId="0" borderId="28" xfId="4" applyFont="1" applyBorder="1"/>
    <xf numFmtId="0" fontId="5" fillId="0" borderId="39" xfId="4" applyFont="1" applyBorder="1"/>
    <xf numFmtId="0" fontId="4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left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5" fillId="3" borderId="2" xfId="10" applyFont="1" applyFill="1" applyBorder="1" applyAlignment="1">
      <alignment horizontal="center" vertical="center"/>
    </xf>
    <xf numFmtId="0" fontId="8" fillId="0" borderId="2" xfId="4" applyFont="1" applyBorder="1" applyAlignment="1">
      <alignment horizontal="left" vertical="center" wrapText="1"/>
    </xf>
    <xf numFmtId="0" fontId="15" fillId="3" borderId="2" xfId="4" applyFont="1" applyFill="1" applyBorder="1" applyAlignment="1">
      <alignment horizontal="center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right" vertical="center" wrapText="1"/>
    </xf>
    <xf numFmtId="0" fontId="31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43" fontId="3" fillId="0" borderId="1" xfId="3" applyFont="1" applyFill="1" applyBorder="1" applyAlignment="1">
      <alignment horizontal="center" vertical="center" wrapText="1"/>
    </xf>
    <xf numFmtId="43" fontId="6" fillId="0" borderId="1" xfId="3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18" fillId="4" borderId="0" xfId="0" applyFont="1" applyFill="1"/>
    <xf numFmtId="0" fontId="18" fillId="4" borderId="0" xfId="0" applyFont="1" applyFill="1" applyAlignment="1">
      <alignment vertical="center"/>
    </xf>
    <xf numFmtId="0" fontId="18" fillId="4" borderId="0" xfId="0" applyFont="1" applyFill="1" applyAlignment="1">
      <alignment horizontal="left" vertical="top"/>
    </xf>
    <xf numFmtId="10" fontId="18" fillId="4" borderId="0" xfId="0" applyNumberFormat="1" applyFont="1" applyFill="1" applyAlignment="1">
      <alignment horizontal="center"/>
    </xf>
    <xf numFmtId="0" fontId="18" fillId="4" borderId="0" xfId="0" applyFont="1" applyFill="1" applyAlignment="1">
      <alignment horizontal="left" vertical="center" indent="10"/>
    </xf>
    <xf numFmtId="2" fontId="18" fillId="4" borderId="0" xfId="0" applyNumberFormat="1" applyFont="1" applyFill="1" applyAlignment="1">
      <alignment horizontal="center"/>
    </xf>
    <xf numFmtId="0" fontId="18" fillId="4" borderId="0" xfId="0" applyFont="1" applyFill="1" applyAlignment="1">
      <alignment horizontal="left" vertical="center" wrapText="1" indent="10"/>
    </xf>
    <xf numFmtId="165" fontId="18" fillId="4" borderId="0" xfId="0" applyNumberFormat="1" applyFont="1" applyFill="1"/>
    <xf numFmtId="0" fontId="18" fillId="4" borderId="0" xfId="0" applyFont="1" applyFill="1" applyAlignment="1">
      <alignment vertical="center" wrapText="1"/>
    </xf>
    <xf numFmtId="4" fontId="18" fillId="4" borderId="0" xfId="0" applyNumberFormat="1" applyFont="1" applyFill="1"/>
    <xf numFmtId="43" fontId="18" fillId="4" borderId="14" xfId="0" applyNumberFormat="1" applyFont="1" applyFill="1" applyBorder="1" applyAlignment="1">
      <alignment vertical="center"/>
    </xf>
    <xf numFmtId="0" fontId="5" fillId="4" borderId="0" xfId="8" applyFont="1" applyFill="1"/>
    <xf numFmtId="10" fontId="1" fillId="4" borderId="0" xfId="8" applyNumberFormat="1" applyFill="1" applyAlignment="1">
      <alignment horizontal="center"/>
    </xf>
    <xf numFmtId="168" fontId="9" fillId="0" borderId="2" xfId="4" applyNumberFormat="1" applyFont="1" applyBorder="1" applyAlignment="1">
      <alignment horizontal="right" vertical="center"/>
    </xf>
    <xf numFmtId="43" fontId="25" fillId="0" borderId="2" xfId="3" applyFont="1" applyFill="1" applyBorder="1" applyAlignment="1">
      <alignment horizontal="right" vertical="center" wrapText="1"/>
    </xf>
    <xf numFmtId="164" fontId="9" fillId="0" borderId="2" xfId="4" applyNumberFormat="1" applyFont="1" applyBorder="1" applyAlignment="1">
      <alignment horizontal="right" vertical="center"/>
    </xf>
    <xf numFmtId="164" fontId="25" fillId="0" borderId="2" xfId="4" applyNumberFormat="1" applyFont="1" applyBorder="1" applyAlignment="1">
      <alignment horizontal="right" vertical="center"/>
    </xf>
    <xf numFmtId="0" fontId="25" fillId="0" borderId="2" xfId="4" applyFont="1" applyBorder="1" applyAlignment="1">
      <alignment horizontal="right" vertical="center"/>
    </xf>
    <xf numFmtId="168" fontId="25" fillId="0" borderId="2" xfId="10" applyNumberFormat="1" applyFont="1" applyBorder="1" applyAlignment="1">
      <alignment horizontal="right" vertical="center" wrapText="1"/>
    </xf>
    <xf numFmtId="164" fontId="8" fillId="0" borderId="2" xfId="4" applyNumberFormat="1" applyFont="1" applyBorder="1" applyAlignment="1">
      <alignment horizontal="right" vertical="center"/>
    </xf>
    <xf numFmtId="0" fontId="8" fillId="0" borderId="2" xfId="4" applyFont="1" applyBorder="1" applyAlignment="1">
      <alignment horizontal="right" vertical="center"/>
    </xf>
    <xf numFmtId="4" fontId="9" fillId="0" borderId="2" xfId="4" applyNumberFormat="1" applyFont="1" applyBorder="1" applyAlignment="1">
      <alignment horizontal="right" vertical="center"/>
    </xf>
    <xf numFmtId="0" fontId="9" fillId="0" borderId="2" xfId="4" applyFont="1" applyBorder="1" applyAlignment="1">
      <alignment horizontal="right" vertical="center"/>
    </xf>
    <xf numFmtId="168" fontId="9" fillId="3" borderId="2" xfId="4" applyNumberFormat="1" applyFont="1" applyFill="1" applyBorder="1" applyAlignment="1">
      <alignment horizontal="right" vertical="center"/>
    </xf>
    <xf numFmtId="0" fontId="9" fillId="3" borderId="2" xfId="4" applyFont="1" applyFill="1" applyBorder="1" applyAlignment="1">
      <alignment horizontal="right" vertical="center"/>
    </xf>
    <xf numFmtId="164" fontId="9" fillId="3" borderId="2" xfId="4" applyNumberFormat="1" applyFont="1" applyFill="1" applyBorder="1" applyAlignment="1">
      <alignment horizontal="right" vertical="center"/>
    </xf>
    <xf numFmtId="4" fontId="32" fillId="0" borderId="1" xfId="0" applyNumberFormat="1" applyFont="1" applyBorder="1" applyAlignment="1">
      <alignment vertical="center" wrapText="1"/>
    </xf>
    <xf numFmtId="0" fontId="5" fillId="0" borderId="0" xfId="0" applyFont="1"/>
    <xf numFmtId="0" fontId="5" fillId="4" borderId="0" xfId="0" applyFont="1" applyFill="1"/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25" fillId="0" borderId="2" xfId="0" applyFont="1" applyBorder="1"/>
    <xf numFmtId="0" fontId="25" fillId="0" borderId="2" xfId="0" applyFont="1" applyBorder="1" applyAlignment="1">
      <alignment horizontal="center"/>
    </xf>
    <xf numFmtId="0" fontId="25" fillId="0" borderId="2" xfId="0" applyFont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/>
    </xf>
    <xf numFmtId="43" fontId="9" fillId="3" borderId="2" xfId="0" applyNumberFormat="1" applyFont="1" applyFill="1" applyBorder="1" applyAlignment="1">
      <alignment horizontal="center" vertical="center"/>
    </xf>
    <xf numFmtId="0" fontId="24" fillId="0" borderId="18" xfId="0" applyFont="1" applyBorder="1"/>
    <xf numFmtId="4" fontId="24" fillId="0" borderId="27" xfId="0" applyNumberFormat="1" applyFont="1" applyBorder="1"/>
    <xf numFmtId="0" fontId="5" fillId="0" borderId="18" xfId="0" applyFont="1" applyBorder="1"/>
    <xf numFmtId="4" fontId="13" fillId="0" borderId="27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wrapText="1"/>
    </xf>
    <xf numFmtId="4" fontId="5" fillId="4" borderId="0" xfId="0" applyNumberFormat="1" applyFont="1" applyFill="1"/>
    <xf numFmtId="43" fontId="5" fillId="4" borderId="0" xfId="0" applyNumberFormat="1" applyFont="1" applyFill="1"/>
    <xf numFmtId="43" fontId="5" fillId="0" borderId="0" xfId="0" applyNumberFormat="1" applyFont="1"/>
    <xf numFmtId="0" fontId="3" fillId="3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40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14" fillId="3" borderId="2" xfId="4" applyFont="1" applyFill="1" applyBorder="1" applyAlignment="1">
      <alignment horizontal="left" vertical="center" wrapText="1"/>
    </xf>
    <xf numFmtId="0" fontId="17" fillId="2" borderId="2" xfId="1" applyFont="1" applyFill="1" applyBorder="1" applyAlignment="1">
      <alignment horizontal="center" vertical="center" wrapText="1"/>
    </xf>
    <xf numFmtId="0" fontId="15" fillId="3" borderId="2" xfId="4" applyFont="1" applyFill="1" applyBorder="1" applyAlignment="1">
      <alignment horizontal="left" vertical="center" wrapText="1"/>
    </xf>
    <xf numFmtId="0" fontId="19" fillId="4" borderId="14" xfId="0" applyFont="1" applyFill="1" applyBorder="1" applyAlignment="1">
      <alignment horizontal="center"/>
    </xf>
    <xf numFmtId="0" fontId="18" fillId="4" borderId="9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 wrapText="1"/>
    </xf>
    <xf numFmtId="0" fontId="15" fillId="2" borderId="2" xfId="10" applyFont="1" applyFill="1" applyBorder="1" applyAlignment="1">
      <alignment horizontal="center" vertical="center"/>
    </xf>
    <xf numFmtId="0" fontId="15" fillId="3" borderId="2" xfId="10" applyFont="1" applyFill="1" applyBorder="1" applyAlignment="1">
      <alignment horizontal="center" vertical="center"/>
    </xf>
    <xf numFmtId="0" fontId="27" fillId="2" borderId="2" xfId="4" applyFont="1" applyFill="1" applyBorder="1" applyAlignment="1">
      <alignment horizontal="center" vertical="center"/>
    </xf>
    <xf numFmtId="0" fontId="15" fillId="3" borderId="2" xfId="4" applyFont="1" applyFill="1" applyBorder="1" applyAlignment="1">
      <alignment horizontal="center" vertical="center" wrapText="1"/>
    </xf>
    <xf numFmtId="0" fontId="15" fillId="3" borderId="2" xfId="4" applyFont="1" applyFill="1" applyBorder="1" applyAlignment="1">
      <alignment horizontal="center" vertical="center"/>
    </xf>
    <xf numFmtId="0" fontId="9" fillId="0" borderId="2" xfId="4" applyFont="1" applyBorder="1" applyAlignment="1">
      <alignment horizontal="left" vertical="center" wrapText="1"/>
    </xf>
    <xf numFmtId="0" fontId="8" fillId="0" borderId="2" xfId="4" applyFont="1" applyBorder="1" applyAlignment="1">
      <alignment horizontal="left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24" fillId="5" borderId="24" xfId="4" applyFont="1" applyFill="1" applyBorder="1" applyAlignment="1">
      <alignment horizontal="center" vertical="center"/>
    </xf>
    <xf numFmtId="0" fontId="24" fillId="5" borderId="23" xfId="4" applyFont="1" applyFill="1" applyBorder="1" applyAlignment="1">
      <alignment horizontal="center" vertical="center"/>
    </xf>
    <xf numFmtId="0" fontId="24" fillId="5" borderId="25" xfId="4" applyFont="1" applyFill="1" applyBorder="1" applyAlignment="1">
      <alignment horizontal="center" vertical="center"/>
    </xf>
    <xf numFmtId="0" fontId="24" fillId="5" borderId="22" xfId="4" applyFont="1" applyFill="1" applyBorder="1" applyAlignment="1">
      <alignment horizontal="center" vertical="center"/>
    </xf>
    <xf numFmtId="0" fontId="31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0" fontId="32" fillId="0" borderId="1" xfId="0" applyFont="1" applyBorder="1" applyAlignment="1">
      <alignment horizontal="right" vertical="center" wrapText="1"/>
    </xf>
    <xf numFmtId="0" fontId="15" fillId="2" borderId="2" xfId="0" applyFont="1" applyFill="1" applyBorder="1" applyAlignment="1">
      <alignment horizontal="center" vertical="center"/>
    </xf>
    <xf numFmtId="0" fontId="24" fillId="0" borderId="32" xfId="0" applyFont="1" applyBorder="1" applyAlignment="1">
      <alignment horizontal="center"/>
    </xf>
    <xf numFmtId="0" fontId="24" fillId="0" borderId="33" xfId="0" applyFont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15" fillId="2" borderId="29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/>
    </xf>
  </cellXfs>
  <cellStyles count="21">
    <cellStyle name="Millares 10" xfId="5" xr:uid="{D3D7F511-38BD-49B0-BCFC-1F283837D519}"/>
    <cellStyle name="Millares 11" xfId="12" xr:uid="{4974A90C-6342-4D68-B1E6-52522FFA297F}"/>
    <cellStyle name="Millares 11 2" xfId="13" xr:uid="{65D1ECAF-F649-404E-9303-2E777C8B9A9C}"/>
    <cellStyle name="Millares 2" xfId="3" xr:uid="{6412F2F7-0EC7-43C8-9D61-6C30C746DB12}"/>
    <cellStyle name="Millares 3" xfId="9" xr:uid="{3AB10C3F-8C90-4469-8264-EC194866258B}"/>
    <cellStyle name="Millares 3 2" xfId="14" xr:uid="{E30BAA87-DE7F-4FF6-BA84-82DF6B024A46}"/>
    <cellStyle name="Normal" xfId="0" builtinId="0"/>
    <cellStyle name="Normal 10" xfId="16" xr:uid="{FAE16E92-99B5-46FA-812D-71D695CB0478}"/>
    <cellStyle name="Normal 11 2" xfId="10" xr:uid="{2DF835B5-9870-46A2-A3F6-78BAE19BDF41}"/>
    <cellStyle name="Normal 2" xfId="2" xr:uid="{4ED6C386-C6F5-4ACE-BECC-6B51E16E512F}"/>
    <cellStyle name="Normal 2 3" xfId="6" xr:uid="{CEB5CD13-D317-4A2C-8870-6EF8E0F70B8C}"/>
    <cellStyle name="Normal 2 4" xfId="1" xr:uid="{5229D61F-C7F4-4C18-B2ED-F11A9563A5A7}"/>
    <cellStyle name="Normal 2 4 5" xfId="20" xr:uid="{E7720162-DBDD-436C-A909-4306F9B12C85}"/>
    <cellStyle name="Normal 2 4 6" xfId="17" xr:uid="{D15CC522-A2DF-4F9C-B0A7-C8A3A14DD534}"/>
    <cellStyle name="Normal 2 4 9" xfId="18" xr:uid="{9281F8A1-98F8-4374-8B64-C3A2991136DC}"/>
    <cellStyle name="Normal 2 5" xfId="19" xr:uid="{2561B528-302A-41AE-BA3A-8F779E1DA9A3}"/>
    <cellStyle name="Normal 4" xfId="8" xr:uid="{B7027617-2C30-4AA5-8A32-70CDB602CAAC}"/>
    <cellStyle name="Normal 5" xfId="4" xr:uid="{2762412B-1075-41E3-8C77-A770F43E605E}"/>
    <cellStyle name="Normal 6" xfId="15" xr:uid="{C67B3346-17A3-4706-B6B7-76ED66AE40F3}"/>
    <cellStyle name="Porcentaje 2" xfId="7" xr:uid="{5FA6FF8F-9C90-4854-AA42-16553A9FE3F2}"/>
    <cellStyle name="Porcentaje 3" xfId="11" xr:uid="{679D427B-38E9-4A05-A252-748BCC3651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baranda\OneDrive%20-%20Universidad%20Complutense%20de%20Madrid%20(UCM)\Documentos\CCAA\2024\FICHEROS%20DEFINITIVOS\Cuadros%20Memoria%20CCAA%202024_definitiv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baranda\OneDrive%20-%20Universidad%20Complutense%20de%20Madrid%20(UCM)\Documentos\CCAA\2024\FICHEROS%20DEFINITIVOS\Consolidaci&#243;n%20%20%202024_definiti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2024 "/>
      <sheetName val="CTA. RESULTADOS 2024"/>
      <sheetName val="ESTADO CAMB. PATRIM.NETO 2024"/>
      <sheetName val="ESTADO INGRESOS Y GASTOS 2024"/>
      <sheetName val="ESTADO FLUJOS EFECTIVO 2024"/>
      <sheetName val=" EFECTIVOS PERSONAL 2024"/>
      <sheetName val="CONVENIOS 2024 Gastos"/>
      <sheetName val="CONVENIOS 2024 Ingresos"/>
      <sheetName val="C.I PERSONAL"/>
      <sheetName val="INMOVILIZADOS 2024"/>
      <sheetName val="INMOVILIZADOS 2023"/>
      <sheetName val="RELACION DE INMUEBLES 2024"/>
      <sheetName val="BS CESIÓN 2024"/>
      <sheetName val="ProvisionesyContingencias 2024"/>
      <sheetName val="ACTIVOS Y PASIVOS FINANC.2024"/>
      <sheetName val="AVALES Y GARANTIAS 2024"/>
      <sheetName val="TRANSF.SUBVEN.RECIB.CONCE.2024"/>
      <sheetName val="MEDIO AMBIENTE 2023"/>
      <sheetName val="RESULTADO POR ACTIVIDADES 2023"/>
      <sheetName val="VALORES RECIB. DEPOSITO 2024"/>
      <sheetName val="EST.LIQ.PPTO. INGRESOS 2024"/>
      <sheetName val="EST.LIQ.PPTO.GTOS CAPITULO 2024"/>
      <sheetName val="EST.LIQ.PPTO.GTOS PROGRAMA 2024"/>
      <sheetName val="RESULTADO PRESUPUESTARIO 2024"/>
      <sheetName val="CONTRAT. ADMVA.2024"/>
      <sheetName val="DNP 2024"/>
      <sheetName val="ANP 2024"/>
      <sheetName val="CPA 2024"/>
      <sheetName val="Liquid.Ingresos Subc. 2024"/>
      <sheetName val="Gráfica ingresos 2024"/>
      <sheetName val="Liquid.Gastos Subc. 2024"/>
      <sheetName val="CRT 2024"/>
      <sheetName val="Gráfica gastos 2024"/>
      <sheetName val="MC 2024"/>
      <sheetName val="REMANENTES CRÉDITO 2024"/>
      <sheetName val="PROYECTOS DE INVERSION 2024"/>
      <sheetName val="ACREE.OPS.PTES.APL.PPTO. 2024"/>
      <sheetName val="DERECHOS ANULADOS 2024"/>
      <sheetName val="RECAUDACION NETA 2024"/>
      <sheetName val="DEVOLUCIONES INGRESOS 2024"/>
      <sheetName val="Obli.Pte.PagoCerra 2024"/>
      <sheetName val="Derech.Pte.Cobro.Cerra 2024"/>
      <sheetName val="Variac.Rdos.Pres.Ej.Ante. 2024"/>
      <sheetName val="COMPROMISOS FUTUROS 2024"/>
      <sheetName val="ERT 2024"/>
      <sheetName val="Indicadores financ. y patri."/>
      <sheetName val="Indicadores presupuestarios"/>
    </sheetNames>
    <sheetDataSet>
      <sheetData sheetId="0"/>
      <sheetData sheetId="1">
        <row r="45">
          <cell r="C45">
            <v>40161744.06999997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71">
          <cell r="F71">
            <v>1382477082.46</v>
          </cell>
        </row>
        <row r="72">
          <cell r="F72">
            <v>442735369.84000003</v>
          </cell>
          <cell r="J72">
            <v>52646672.390000001</v>
          </cell>
        </row>
        <row r="73">
          <cell r="F73">
            <v>1060267.79</v>
          </cell>
        </row>
        <row r="80">
          <cell r="F80">
            <v>57624351.760000005</v>
          </cell>
        </row>
        <row r="102">
          <cell r="F102">
            <v>126267.1799999997</v>
          </cell>
        </row>
        <row r="103">
          <cell r="F103">
            <v>24037.24</v>
          </cell>
        </row>
      </sheetData>
      <sheetData sheetId="10"/>
      <sheetData sheetId="11"/>
      <sheetData sheetId="12"/>
      <sheetData sheetId="13"/>
      <sheetData sheetId="14">
        <row r="30">
          <cell r="H30">
            <v>177877.27999999997</v>
          </cell>
        </row>
        <row r="36">
          <cell r="I36">
            <v>1033048.5900000003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Consolidado Trabajo"/>
      <sheetName val=" PyG Consolidado Trabajo"/>
      <sheetName val="Balance UCM "/>
      <sheetName val="PyG UCM"/>
      <sheetName val="Balance y PyG FGUCM2024 "/>
      <sheetName val="FPC"/>
      <sheetName val="CONSORCIO"/>
      <sheetName val="Aj-Elim2024"/>
      <sheetName val="Asi.Consol.Balance FGU 2024"/>
      <sheetName val="FGUCM- Operaciones 2024"/>
      <sheetName val="Balance Consolidado"/>
      <sheetName val="PyG Consolidada"/>
      <sheetName val="Balance Consolidado Memoria"/>
      <sheetName val="PyG Consolidado Memoria "/>
      <sheetName val="Resto Cuadros Consolida Memor"/>
      <sheetName val="Otros Cuadros Memoria"/>
      <sheetName val="Cuadros Inmovilizado Memoria "/>
      <sheetName val="Activos y Pasivos Financ. Conso"/>
      <sheetName val="Cuadro Patrimonio Neto"/>
      <sheetName val="Cuadro Provisiones"/>
      <sheetName val="Indicadores financiera"/>
    </sheetNames>
    <sheetDataSet>
      <sheetData sheetId="0">
        <row r="5">
          <cell r="Q5">
            <v>150304.41999999969</v>
          </cell>
          <cell r="T5">
            <v>184183.32999999984</v>
          </cell>
        </row>
        <row r="9">
          <cell r="Q9">
            <v>1382477082.46</v>
          </cell>
          <cell r="T9">
            <v>1382477082.46</v>
          </cell>
        </row>
        <row r="10">
          <cell r="Q10">
            <v>442735369.84000003</v>
          </cell>
          <cell r="T10">
            <v>448874838.36000001</v>
          </cell>
        </row>
        <row r="11">
          <cell r="Q11">
            <v>1060267.79</v>
          </cell>
          <cell r="T11">
            <v>1060267.79</v>
          </cell>
        </row>
        <row r="12">
          <cell r="Q12">
            <v>54896265.079999998</v>
          </cell>
          <cell r="T12">
            <v>56213816.329999886</v>
          </cell>
        </row>
        <row r="13">
          <cell r="Q13">
            <v>57624351.760000005</v>
          </cell>
          <cell r="T13">
            <v>32451058.049999997</v>
          </cell>
        </row>
        <row r="14">
          <cell r="Q14">
            <v>71962.929999999993</v>
          </cell>
          <cell r="T14">
            <v>74611.87</v>
          </cell>
        </row>
        <row r="17">
          <cell r="Q17">
            <v>3580225.1733031049</v>
          </cell>
          <cell r="T17">
            <v>3692041.231635428</v>
          </cell>
        </row>
        <row r="18">
          <cell r="Q18">
            <v>3961644.12</v>
          </cell>
          <cell r="T18">
            <v>1101434.9400000002</v>
          </cell>
        </row>
        <row r="22">
          <cell r="Q22">
            <v>556769.86</v>
          </cell>
          <cell r="T22">
            <v>686559.87</v>
          </cell>
        </row>
        <row r="24">
          <cell r="Q24">
            <v>118454169.83000001</v>
          </cell>
          <cell r="T24">
            <v>127097943.91</v>
          </cell>
        </row>
        <row r="28">
          <cell r="Q28">
            <v>1927946.8599999999</v>
          </cell>
          <cell r="T28">
            <v>3619503.9099999997</v>
          </cell>
        </row>
        <row r="30">
          <cell r="Q30">
            <v>93060.93</v>
          </cell>
          <cell r="T30">
            <v>3951.39</v>
          </cell>
        </row>
        <row r="31">
          <cell r="Q31">
            <v>66637911.789999999</v>
          </cell>
          <cell r="T31">
            <v>134596820.96000001</v>
          </cell>
        </row>
        <row r="38">
          <cell r="T38">
            <v>2012545526.28</v>
          </cell>
        </row>
        <row r="40">
          <cell r="Q40">
            <v>-330642217.63</v>
          </cell>
          <cell r="T40">
            <v>-288553243.91000003</v>
          </cell>
        </row>
        <row r="41">
          <cell r="Q41">
            <v>40328602.710000053</v>
          </cell>
          <cell r="T41">
            <v>-41646734.853333279</v>
          </cell>
        </row>
        <row r="42">
          <cell r="Q42">
            <v>3690610.8833030178</v>
          </cell>
          <cell r="T42">
            <v>3257129.05496869</v>
          </cell>
        </row>
        <row r="43">
          <cell r="Q43">
            <v>83656874.980000004</v>
          </cell>
          <cell r="T43">
            <v>86579363.349999994</v>
          </cell>
        </row>
        <row r="46">
          <cell r="Q46">
            <v>45628699.259999998</v>
          </cell>
          <cell r="T46">
            <v>144891026.90000001</v>
          </cell>
        </row>
        <row r="48">
          <cell r="Q48">
            <v>108006878.90000001</v>
          </cell>
          <cell r="T48">
            <v>115274644.95</v>
          </cell>
        </row>
        <row r="53">
          <cell r="Q53">
            <v>6127885.1799999997</v>
          </cell>
          <cell r="T53">
            <v>1600174.07</v>
          </cell>
        </row>
        <row r="55">
          <cell r="Q55">
            <v>5441884.8400000008</v>
          </cell>
          <cell r="T55">
            <v>6170668.0300000003</v>
          </cell>
        </row>
        <row r="56">
          <cell r="Q56">
            <v>17272.53</v>
          </cell>
          <cell r="T56">
            <v>14597.53</v>
          </cell>
        </row>
        <row r="58">
          <cell r="Q58">
            <v>0</v>
          </cell>
          <cell r="T58">
            <v>0</v>
          </cell>
        </row>
        <row r="59">
          <cell r="Q59">
            <v>77040936.810000002</v>
          </cell>
          <cell r="T59">
            <v>72509990.980000004</v>
          </cell>
        </row>
        <row r="64">
          <cell r="Q64">
            <v>82384378.100000009</v>
          </cell>
          <cell r="T64">
            <v>79490972.020000011</v>
          </cell>
        </row>
      </sheetData>
      <sheetData sheetId="1">
        <row r="3">
          <cell r="O3">
            <v>8776573.2400000002</v>
          </cell>
          <cell r="P3">
            <v>8558834.2599999998</v>
          </cell>
        </row>
        <row r="6">
          <cell r="O6">
            <v>407802012.06999999</v>
          </cell>
          <cell r="P6">
            <v>402835639.80000001</v>
          </cell>
        </row>
        <row r="8">
          <cell r="O8">
            <v>220077.58</v>
          </cell>
          <cell r="P8">
            <v>220077.58</v>
          </cell>
        </row>
        <row r="9">
          <cell r="O9">
            <v>88020639.109999999</v>
          </cell>
          <cell r="P9">
            <v>93616576.329999998</v>
          </cell>
        </row>
        <row r="10">
          <cell r="O10">
            <v>125885378.14999999</v>
          </cell>
          <cell r="P10">
            <v>139449387.99000001</v>
          </cell>
        </row>
        <row r="12">
          <cell r="O12">
            <v>107189361.90000001</v>
          </cell>
          <cell r="P12">
            <v>4101261.07</v>
          </cell>
        </row>
        <row r="13">
          <cell r="O13">
            <v>274000</v>
          </cell>
          <cell r="P13">
            <v>37983.61</v>
          </cell>
        </row>
        <row r="19">
          <cell r="O19">
            <v>-438761576.81</v>
          </cell>
          <cell r="P19">
            <v>-425872242.02999997</v>
          </cell>
        </row>
        <row r="20">
          <cell r="O20">
            <v>-105318078.96000001</v>
          </cell>
          <cell r="P20">
            <v>-101122913.32000001</v>
          </cell>
        </row>
        <row r="22">
          <cell r="O22">
            <v>-15273709.66</v>
          </cell>
          <cell r="P22">
            <v>-31206560.77</v>
          </cell>
        </row>
        <row r="23">
          <cell r="O23">
            <v>-38095.53</v>
          </cell>
          <cell r="P23">
            <v>25391.759999999998</v>
          </cell>
        </row>
        <row r="26">
          <cell r="O26">
            <v>-113990774.7</v>
          </cell>
          <cell r="P26">
            <v>-111587581.22</v>
          </cell>
        </row>
        <row r="29">
          <cell r="O29">
            <v>-26318859.300000001</v>
          </cell>
          <cell r="P29">
            <v>-25065755.149999999</v>
          </cell>
        </row>
        <row r="36">
          <cell r="O36">
            <v>0</v>
          </cell>
          <cell r="P36">
            <v>-1216.95</v>
          </cell>
        </row>
        <row r="37">
          <cell r="O37">
            <v>107270.39</v>
          </cell>
          <cell r="P37">
            <v>50458.22</v>
          </cell>
        </row>
        <row r="39">
          <cell r="O39">
            <v>956428.29999999993</v>
          </cell>
          <cell r="P39">
            <v>1315981.78</v>
          </cell>
        </row>
        <row r="47">
          <cell r="O47">
            <v>3103928.77</v>
          </cell>
          <cell r="P47">
            <v>3520114.92</v>
          </cell>
        </row>
        <row r="51">
          <cell r="O51">
            <v>-742544.2</v>
          </cell>
          <cell r="P51">
            <v>-618285.84</v>
          </cell>
        </row>
        <row r="55">
          <cell r="O55">
            <v>-7135.61</v>
          </cell>
          <cell r="P55">
            <v>-1319.63</v>
          </cell>
        </row>
        <row r="56">
          <cell r="O56">
            <v>-1453233.01</v>
          </cell>
          <cell r="P56">
            <v>14153.75</v>
          </cell>
        </row>
        <row r="62">
          <cell r="O62">
            <v>-103059.01999991285</v>
          </cell>
          <cell r="P62">
            <v>83278.986666737736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B1DE3-C0E6-49E4-AC16-D6742511EC6E}">
  <sheetPr>
    <tabColor theme="4" tint="0.59999389629810485"/>
  </sheetPr>
  <dimension ref="B2:K30"/>
  <sheetViews>
    <sheetView zoomScaleNormal="100" workbookViewId="0">
      <selection activeCell="C32" sqref="C32"/>
    </sheetView>
  </sheetViews>
  <sheetFormatPr baseColWidth="10" defaultRowHeight="12.75" x14ac:dyDescent="0.2"/>
  <cols>
    <col min="1" max="1" width="11.42578125" style="13"/>
    <col min="2" max="2" width="17.140625" style="13" customWidth="1"/>
    <col min="3" max="3" width="26.140625" style="13" bestFit="1" customWidth="1"/>
    <col min="4" max="4" width="8.140625" style="13" customWidth="1"/>
    <col min="5" max="5" width="17.140625" style="13" customWidth="1"/>
    <col min="6" max="6" width="17.28515625" style="13" customWidth="1"/>
    <col min="7" max="7" width="11.28515625" style="13" customWidth="1"/>
    <col min="8" max="8" width="33.85546875" style="13" bestFit="1" customWidth="1"/>
    <col min="9" max="9" width="8.85546875" style="13" customWidth="1"/>
    <col min="10" max="10" width="16.42578125" style="13" customWidth="1"/>
    <col min="11" max="11" width="15.42578125" style="13" customWidth="1"/>
    <col min="12" max="12" width="13.7109375" style="13" bestFit="1" customWidth="1"/>
    <col min="13" max="13" width="17.7109375" style="13" bestFit="1" customWidth="1"/>
    <col min="14" max="16384" width="11.42578125" style="13"/>
  </cols>
  <sheetData>
    <row r="2" spans="2:11" x14ac:dyDescent="0.2">
      <c r="B2" s="202" t="s">
        <v>0</v>
      </c>
      <c r="C2" s="203"/>
      <c r="D2" s="203"/>
      <c r="E2" s="203"/>
      <c r="F2" s="203"/>
      <c r="G2" s="203"/>
      <c r="H2" s="203"/>
      <c r="I2" s="203"/>
      <c r="J2" s="203"/>
      <c r="K2" s="203"/>
    </row>
    <row r="3" spans="2:11" x14ac:dyDescent="0.2">
      <c r="B3" s="204" t="s">
        <v>364</v>
      </c>
      <c r="C3" s="204" t="s">
        <v>1</v>
      </c>
      <c r="D3" s="204" t="s">
        <v>2</v>
      </c>
      <c r="E3" s="204">
        <v>2024</v>
      </c>
      <c r="F3" s="204">
        <v>2023</v>
      </c>
      <c r="G3" s="204" t="s">
        <v>364</v>
      </c>
      <c r="H3" s="204" t="s">
        <v>3</v>
      </c>
      <c r="I3" s="204" t="s">
        <v>2</v>
      </c>
      <c r="J3" s="204">
        <v>2024</v>
      </c>
      <c r="K3" s="204">
        <v>2023</v>
      </c>
    </row>
    <row r="4" spans="2:11" x14ac:dyDescent="0.2">
      <c r="B4" s="204"/>
      <c r="C4" s="204"/>
      <c r="D4" s="204"/>
      <c r="E4" s="204"/>
      <c r="F4" s="204"/>
      <c r="G4" s="204"/>
      <c r="H4" s="204"/>
      <c r="I4" s="204"/>
      <c r="J4" s="204"/>
      <c r="K4" s="204"/>
    </row>
    <row r="5" spans="2:11" x14ac:dyDescent="0.2">
      <c r="B5" s="201" t="s">
        <v>4</v>
      </c>
      <c r="C5" s="201"/>
      <c r="D5" s="14"/>
      <c r="E5" s="14">
        <f>E6+E9+E15</f>
        <v>1937905692.7800002</v>
      </c>
      <c r="F5" s="14">
        <f>F6+F9+F15</f>
        <v>1919906185.8299999</v>
      </c>
      <c r="G5" s="201" t="s">
        <v>5</v>
      </c>
      <c r="H5" s="201"/>
      <c r="I5" s="14"/>
      <c r="J5" s="14">
        <f>J6+J8+J11</f>
        <v>1798472269.23</v>
      </c>
      <c r="K5" s="14">
        <f>K6+K8+K11</f>
        <v>1761012935.95</v>
      </c>
    </row>
    <row r="6" spans="2:11" x14ac:dyDescent="0.2">
      <c r="B6" s="205" t="s">
        <v>6</v>
      </c>
      <c r="C6" s="205"/>
      <c r="D6" s="1" t="s">
        <v>7</v>
      </c>
      <c r="E6" s="16">
        <f>SUM(E7:E8)</f>
        <v>150304.41999999969</v>
      </c>
      <c r="F6" s="16">
        <f>SUM(F7:F8)</f>
        <v>184183.32999999984</v>
      </c>
      <c r="G6" s="205" t="s">
        <v>8</v>
      </c>
      <c r="H6" s="205"/>
      <c r="I6" s="1"/>
      <c r="J6" s="16">
        <f>J7</f>
        <v>2005387566.9200001</v>
      </c>
      <c r="K6" s="16">
        <f>K7</f>
        <v>2005387566.9200001</v>
      </c>
    </row>
    <row r="7" spans="2:11" ht="24" x14ac:dyDescent="0.2">
      <c r="B7" s="2">
        <v>210</v>
      </c>
      <c r="C7" s="3" t="s">
        <v>9</v>
      </c>
      <c r="D7" s="1"/>
      <c r="E7" s="15">
        <f>'[1]INMOVILIZADOS 2024'!F103</f>
        <v>24037.24</v>
      </c>
      <c r="F7" s="15">
        <v>24037.24</v>
      </c>
      <c r="G7" s="2">
        <v>100</v>
      </c>
      <c r="H7" s="3" t="s">
        <v>10</v>
      </c>
      <c r="I7" s="1"/>
      <c r="J7" s="15">
        <v>2005387566.9200001</v>
      </c>
      <c r="K7" s="15">
        <v>2005387566.9200001</v>
      </c>
    </row>
    <row r="8" spans="2:11" x14ac:dyDescent="0.2">
      <c r="B8" s="2" t="s">
        <v>365</v>
      </c>
      <c r="C8" s="3" t="s">
        <v>11</v>
      </c>
      <c r="D8" s="1"/>
      <c r="E8" s="15">
        <f>'[1]INMOVILIZADOS 2024'!F102</f>
        <v>126267.1799999997</v>
      </c>
      <c r="F8" s="15">
        <v>160146.08999999985</v>
      </c>
      <c r="G8" s="205" t="s">
        <v>12</v>
      </c>
      <c r="H8" s="205"/>
      <c r="I8" s="1"/>
      <c r="J8" s="16">
        <f>SUM(J9:J10)</f>
        <v>-290480473.56</v>
      </c>
      <c r="K8" s="16">
        <f>SUM(K9:K10)</f>
        <v>-330642217.63000005</v>
      </c>
    </row>
    <row r="9" spans="2:11" x14ac:dyDescent="0.2">
      <c r="B9" s="205" t="s">
        <v>14</v>
      </c>
      <c r="C9" s="205"/>
      <c r="D9" s="1" t="s">
        <v>15</v>
      </c>
      <c r="E9" s="16">
        <f>SUM(E10:E14)</f>
        <v>1936543744.2400002</v>
      </c>
      <c r="F9" s="16">
        <f>SUM(F10:F14)</f>
        <v>1918620567.5599999</v>
      </c>
      <c r="G9" s="2">
        <v>120</v>
      </c>
      <c r="H9" s="5" t="s">
        <v>13</v>
      </c>
      <c r="I9" s="1"/>
      <c r="J9" s="15">
        <v>-330642217.63</v>
      </c>
      <c r="K9" s="15">
        <v>-288553243.91000003</v>
      </c>
    </row>
    <row r="10" spans="2:11" x14ac:dyDescent="0.2">
      <c r="B10" s="6">
        <v>220</v>
      </c>
      <c r="C10" s="7" t="s">
        <v>17</v>
      </c>
      <c r="D10" s="1"/>
      <c r="E10" s="15">
        <f>'[1]INMOVILIZADOS 2024'!F71</f>
        <v>1382477082.46</v>
      </c>
      <c r="F10" s="15">
        <v>1382477082.46</v>
      </c>
      <c r="G10" s="2">
        <v>129</v>
      </c>
      <c r="H10" s="5" t="s">
        <v>16</v>
      </c>
      <c r="I10" s="1"/>
      <c r="J10" s="4">
        <f>'[1]CTA. RESULTADOS 2024'!C45</f>
        <v>40161744.06999997</v>
      </c>
      <c r="K10" s="15">
        <v>-42088973.720000021</v>
      </c>
    </row>
    <row r="11" spans="2:11" x14ac:dyDescent="0.2">
      <c r="B11" s="2" t="s">
        <v>366</v>
      </c>
      <c r="C11" s="3" t="s">
        <v>19</v>
      </c>
      <c r="D11" s="1"/>
      <c r="E11" s="15">
        <f>'[1]INMOVILIZADOS 2024'!F72</f>
        <v>442735369.84000003</v>
      </c>
      <c r="F11" s="15">
        <v>448874838.36000001</v>
      </c>
      <c r="G11" s="205" t="s">
        <v>18</v>
      </c>
      <c r="H11" s="205"/>
      <c r="I11" s="1"/>
      <c r="J11" s="16">
        <v>83565175.870000005</v>
      </c>
      <c r="K11" s="16">
        <v>86267586.659999996</v>
      </c>
    </row>
    <row r="12" spans="2:11" ht="24" x14ac:dyDescent="0.2">
      <c r="B12" s="2">
        <v>208</v>
      </c>
      <c r="C12" s="3" t="s">
        <v>20</v>
      </c>
      <c r="D12" s="1"/>
      <c r="E12" s="15">
        <f>'[1]INMOVILIZADOS 2024'!F73</f>
        <v>1060267.79</v>
      </c>
      <c r="F12" s="15">
        <v>1060267.79</v>
      </c>
      <c r="G12" s="8"/>
      <c r="H12" s="8"/>
      <c r="I12" s="9"/>
      <c r="J12" s="18"/>
      <c r="K12" s="15"/>
    </row>
    <row r="13" spans="2:11" ht="36" x14ac:dyDescent="0.2">
      <c r="B13" s="2" t="s">
        <v>367</v>
      </c>
      <c r="C13" s="3" t="s">
        <v>21</v>
      </c>
      <c r="D13" s="1"/>
      <c r="E13" s="15">
        <f>'[1]INMOVILIZADOS 2024'!J72</f>
        <v>52646672.390000001</v>
      </c>
      <c r="F13" s="15">
        <v>53757320.899999887</v>
      </c>
      <c r="G13" s="8"/>
      <c r="H13" s="8"/>
      <c r="I13" s="9"/>
      <c r="J13" s="18"/>
      <c r="K13" s="15"/>
    </row>
    <row r="14" spans="2:11" ht="24" x14ac:dyDescent="0.2">
      <c r="B14" s="2">
        <v>231</v>
      </c>
      <c r="C14" s="3" t="s">
        <v>23</v>
      </c>
      <c r="D14" s="1"/>
      <c r="E14" s="15">
        <f>'[1]INMOVILIZADOS 2024'!F80</f>
        <v>57624351.760000005</v>
      </c>
      <c r="F14" s="15">
        <v>32451058.049999997</v>
      </c>
      <c r="G14" s="201" t="s">
        <v>22</v>
      </c>
      <c r="H14" s="201"/>
      <c r="I14" s="140"/>
      <c r="J14" s="14">
        <f>SUM(J15:J16)</f>
        <v>153485578.16</v>
      </c>
      <c r="K14" s="14">
        <f>SUM(K15:K16)</f>
        <v>260165671.85000002</v>
      </c>
    </row>
    <row r="15" spans="2:11" x14ac:dyDescent="0.2">
      <c r="B15" s="205" t="s">
        <v>25</v>
      </c>
      <c r="C15" s="205"/>
      <c r="D15" s="1" t="s">
        <v>26</v>
      </c>
      <c r="E15" s="16">
        <f>SUM(E16:E18)</f>
        <v>1211644.1200000003</v>
      </c>
      <c r="F15" s="16">
        <f>SUM(F16:F18)</f>
        <v>1101434.9400000002</v>
      </c>
      <c r="G15" s="205" t="s">
        <v>24</v>
      </c>
      <c r="H15" s="205"/>
      <c r="I15" s="1">
        <v>15</v>
      </c>
      <c r="J15" s="16">
        <f>44357388+1121311.26</f>
        <v>45478699.259999998</v>
      </c>
      <c r="K15" s="16">
        <f>146091200.97-1200174.07</f>
        <v>144891026.90000001</v>
      </c>
    </row>
    <row r="16" spans="2:11" ht="24" x14ac:dyDescent="0.2">
      <c r="B16" s="2" t="s">
        <v>29</v>
      </c>
      <c r="C16" s="3" t="s">
        <v>30</v>
      </c>
      <c r="D16" s="1"/>
      <c r="E16" s="15">
        <f>'[1]ACTIVOS Y PASIVOS FINANC.2024'!H30</f>
        <v>177877.27999999997</v>
      </c>
      <c r="F16" s="15">
        <v>172912.36999999997</v>
      </c>
      <c r="G16" s="205" t="s">
        <v>27</v>
      </c>
      <c r="H16" s="205"/>
      <c r="I16" s="1" t="s">
        <v>28</v>
      </c>
      <c r="J16" s="154">
        <f>SUM(J17)</f>
        <v>108006878.90000001</v>
      </c>
      <c r="K16" s="16">
        <f>SUM(K17)</f>
        <v>115274644.95</v>
      </c>
    </row>
    <row r="17" spans="2:11" ht="24" x14ac:dyDescent="0.2">
      <c r="B17" s="2">
        <v>252</v>
      </c>
      <c r="C17" s="3" t="s">
        <v>32</v>
      </c>
      <c r="D17" s="1"/>
      <c r="E17" s="15">
        <f>'[1]ACTIVOS Y PASIVOS FINANC.2024'!I36</f>
        <v>1033048.5900000003</v>
      </c>
      <c r="F17" s="15">
        <v>928522.57000000018</v>
      </c>
      <c r="G17" s="2" t="s">
        <v>368</v>
      </c>
      <c r="H17" s="3" t="s">
        <v>31</v>
      </c>
      <c r="I17" s="1"/>
      <c r="J17" s="155">
        <v>108006878.90000001</v>
      </c>
      <c r="K17" s="15">
        <v>115274644.95</v>
      </c>
    </row>
    <row r="18" spans="2:11" x14ac:dyDescent="0.2">
      <c r="B18" s="2">
        <v>260</v>
      </c>
      <c r="C18" s="3" t="s">
        <v>369</v>
      </c>
      <c r="D18" s="1"/>
      <c r="E18" s="155">
        <v>718.25</v>
      </c>
      <c r="F18" s="15">
        <v>0</v>
      </c>
      <c r="G18" s="10"/>
      <c r="H18" s="10"/>
      <c r="I18" s="11"/>
      <c r="J18" s="17"/>
      <c r="K18" s="15"/>
    </row>
    <row r="19" spans="2:11" x14ac:dyDescent="0.2">
      <c r="B19" s="201" t="s">
        <v>33</v>
      </c>
      <c r="C19" s="201"/>
      <c r="D19" s="14"/>
      <c r="E19" s="14">
        <f>E20+E22+E26+E28</f>
        <v>182204090.59</v>
      </c>
      <c r="F19" s="14">
        <f>F20+F22+F26+F28</f>
        <v>257056169.78</v>
      </c>
      <c r="G19" s="201" t="s">
        <v>34</v>
      </c>
      <c r="H19" s="201"/>
      <c r="I19" s="14"/>
      <c r="J19" s="14">
        <f>J20+J22+J25+J29</f>
        <v>168151935.98000002</v>
      </c>
      <c r="K19" s="14">
        <f>K20+K22+K25+K29</f>
        <v>155783747.81</v>
      </c>
    </row>
    <row r="20" spans="2:11" x14ac:dyDescent="0.2">
      <c r="B20" s="205" t="s">
        <v>35</v>
      </c>
      <c r="C20" s="205"/>
      <c r="D20" s="1"/>
      <c r="E20" s="16">
        <f>SUM(E21)</f>
        <v>556769.86</v>
      </c>
      <c r="F20" s="16">
        <f>SUM(F21)</f>
        <v>568159.87</v>
      </c>
      <c r="G20" s="205" t="s">
        <v>36</v>
      </c>
      <c r="H20" s="205"/>
      <c r="I20" s="1">
        <v>15</v>
      </c>
      <c r="J20" s="15">
        <f>SUM(J21)</f>
        <v>6127885.1799999997</v>
      </c>
      <c r="K20" s="15">
        <f>SUM(K21)</f>
        <v>1200174.07</v>
      </c>
    </row>
    <row r="21" spans="2:11" ht="24" x14ac:dyDescent="0.2">
      <c r="B21" s="2">
        <v>300</v>
      </c>
      <c r="C21" s="3" t="s">
        <v>37</v>
      </c>
      <c r="D21" s="1"/>
      <c r="E21" s="15">
        <v>556769.86</v>
      </c>
      <c r="F21" s="15">
        <v>568159.87</v>
      </c>
      <c r="G21" s="2">
        <v>582</v>
      </c>
      <c r="H21" s="3" t="s">
        <v>38</v>
      </c>
      <c r="I21" s="1"/>
      <c r="J21" s="15">
        <v>6127885.1799999997</v>
      </c>
      <c r="K21" s="15">
        <v>1200174.07</v>
      </c>
    </row>
    <row r="22" spans="2:11" x14ac:dyDescent="0.2">
      <c r="B22" s="205" t="s">
        <v>39</v>
      </c>
      <c r="C22" s="205"/>
      <c r="D22" s="1"/>
      <c r="E22" s="16">
        <f>SUM(E23:E25)</f>
        <v>117783244.06999999</v>
      </c>
      <c r="F22" s="16">
        <f>SUM(F23:F25)</f>
        <v>126602749.38999999</v>
      </c>
      <c r="G22" s="205" t="s">
        <v>40</v>
      </c>
      <c r="H22" s="205"/>
      <c r="I22" s="1" t="s">
        <v>28</v>
      </c>
      <c r="J22" s="16">
        <f>SUM(J23:J24)</f>
        <v>5441884.8400000008</v>
      </c>
      <c r="K22" s="16">
        <f>SUM(K23:K24)</f>
        <v>6170668.0300000003</v>
      </c>
    </row>
    <row r="23" spans="2:11" ht="24" x14ac:dyDescent="0.2">
      <c r="B23" s="2" t="s">
        <v>41</v>
      </c>
      <c r="C23" s="3" t="s">
        <v>42</v>
      </c>
      <c r="D23" s="1"/>
      <c r="E23" s="15">
        <f>90623898.5-1638124.9</f>
        <v>88985773.599999994</v>
      </c>
      <c r="F23" s="15">
        <v>101779024.39999999</v>
      </c>
      <c r="G23" s="2" t="s">
        <v>43</v>
      </c>
      <c r="H23" s="3" t="s">
        <v>31</v>
      </c>
      <c r="I23" s="1"/>
      <c r="J23" s="155">
        <f>533979.53+4734201.2+173704.11</f>
        <v>5441884.8400000008</v>
      </c>
      <c r="K23" s="15">
        <v>6170668.0300000003</v>
      </c>
    </row>
    <row r="24" spans="2:11" x14ac:dyDescent="0.2">
      <c r="B24" s="2" t="s">
        <v>370</v>
      </c>
      <c r="C24" s="3" t="s">
        <v>44</v>
      </c>
      <c r="D24" s="1" t="s">
        <v>45</v>
      </c>
      <c r="E24" s="15">
        <f>584167.42+18377039.55</f>
        <v>18961206.970000003</v>
      </c>
      <c r="F24" s="15">
        <v>18434948.780000001</v>
      </c>
      <c r="G24" s="12"/>
      <c r="H24" s="3"/>
      <c r="I24" s="1"/>
      <c r="J24" s="15"/>
      <c r="K24" s="15"/>
    </row>
    <row r="25" spans="2:11" x14ac:dyDescent="0.2">
      <c r="B25" s="2">
        <v>470</v>
      </c>
      <c r="C25" s="3" t="s">
        <v>46</v>
      </c>
      <c r="D25" s="1" t="s">
        <v>47</v>
      </c>
      <c r="E25" s="15">
        <v>9836263.5</v>
      </c>
      <c r="F25" s="15">
        <v>6388776.21</v>
      </c>
      <c r="G25" s="209" t="s">
        <v>48</v>
      </c>
      <c r="H25" s="209"/>
      <c r="I25" s="1"/>
      <c r="J25" s="16">
        <f>SUM(J26:J28)</f>
        <v>74780557.340000004</v>
      </c>
      <c r="K25" s="16">
        <f>SUM(K26:K28)</f>
        <v>69408085.090000004</v>
      </c>
    </row>
    <row r="26" spans="2:11" x14ac:dyDescent="0.2">
      <c r="B26" s="205" t="s">
        <v>49</v>
      </c>
      <c r="C26" s="205"/>
      <c r="D26" s="1"/>
      <c r="E26" s="16">
        <f>SUM(E27:E27)</f>
        <v>647139.73</v>
      </c>
      <c r="F26" s="16">
        <f>SUM(F27:F27)</f>
        <v>585639.84</v>
      </c>
      <c r="G26" s="2" t="s">
        <v>371</v>
      </c>
      <c r="H26" s="3" t="s">
        <v>50</v>
      </c>
      <c r="I26" s="1"/>
      <c r="J26" s="15">
        <v>49028042.390000001</v>
      </c>
      <c r="K26" s="15">
        <v>44204732.270000003</v>
      </c>
    </row>
    <row r="27" spans="2:11" ht="24" x14ac:dyDescent="0.2">
      <c r="B27" s="2">
        <v>544</v>
      </c>
      <c r="C27" s="3" t="s">
        <v>51</v>
      </c>
      <c r="D27" s="1" t="s">
        <v>26</v>
      </c>
      <c r="E27" s="15">
        <v>647139.73</v>
      </c>
      <c r="F27" s="15">
        <v>585639.84</v>
      </c>
      <c r="G27" s="2" t="s">
        <v>372</v>
      </c>
      <c r="H27" s="3" t="s">
        <v>52</v>
      </c>
      <c r="I27" s="1" t="s">
        <v>53</v>
      </c>
      <c r="J27" s="15">
        <f>8164482.59-27.54+615.3+609.5+3432.8+3893.43</f>
        <v>8173006.0799999991</v>
      </c>
      <c r="K27" s="15">
        <v>8199227.6399999997</v>
      </c>
    </row>
    <row r="28" spans="2:11" x14ac:dyDescent="0.2">
      <c r="B28" s="206" t="s">
        <v>55</v>
      </c>
      <c r="C28" s="207"/>
      <c r="D28" s="1"/>
      <c r="E28" s="16">
        <f>SUM(E29)</f>
        <v>63216936.93</v>
      </c>
      <c r="F28" s="16">
        <f>SUM(F29)</f>
        <v>129299620.68000001</v>
      </c>
      <c r="G28" s="2" t="s">
        <v>373</v>
      </c>
      <c r="H28" s="3" t="s">
        <v>46</v>
      </c>
      <c r="I28" s="1" t="s">
        <v>54</v>
      </c>
      <c r="J28" s="15">
        <v>17579508.870000001</v>
      </c>
      <c r="K28" s="15">
        <v>17004125.18</v>
      </c>
    </row>
    <row r="29" spans="2:11" x14ac:dyDescent="0.2">
      <c r="B29" s="156" t="s">
        <v>58</v>
      </c>
      <c r="C29" s="3" t="s">
        <v>59</v>
      </c>
      <c r="D29" s="1"/>
      <c r="E29" s="15">
        <v>63216936.93</v>
      </c>
      <c r="F29" s="15">
        <v>129299620.68000001</v>
      </c>
      <c r="G29" s="205" t="s">
        <v>56</v>
      </c>
      <c r="H29" s="205"/>
      <c r="I29" s="1" t="s">
        <v>57</v>
      </c>
      <c r="J29" s="16">
        <v>81801608.620000005</v>
      </c>
      <c r="K29" s="16">
        <v>79004820.620000005</v>
      </c>
    </row>
    <row r="30" spans="2:11" x14ac:dyDescent="0.2">
      <c r="B30" s="208" t="s">
        <v>60</v>
      </c>
      <c r="C30" s="208"/>
      <c r="D30" s="141"/>
      <c r="E30" s="14">
        <f>+E5+E19</f>
        <v>2120109783.3700001</v>
      </c>
      <c r="F30" s="14">
        <f>+F5+F19</f>
        <v>2176962355.6100001</v>
      </c>
      <c r="G30" s="208" t="s">
        <v>61</v>
      </c>
      <c r="H30" s="208"/>
      <c r="I30" s="141"/>
      <c r="J30" s="14">
        <f>J5+J14+J19</f>
        <v>2120109783.3700001</v>
      </c>
      <c r="K30" s="14">
        <f>K5+K14+K19</f>
        <v>2176962355.6100001</v>
      </c>
    </row>
  </sheetData>
  <mergeCells count="34">
    <mergeCell ref="B30:C30"/>
    <mergeCell ref="G30:H30"/>
    <mergeCell ref="G11:H11"/>
    <mergeCell ref="G14:H14"/>
    <mergeCell ref="G15:H15"/>
    <mergeCell ref="G16:H16"/>
    <mergeCell ref="B19:C19"/>
    <mergeCell ref="G19:H19"/>
    <mergeCell ref="B20:C20"/>
    <mergeCell ref="G20:H20"/>
    <mergeCell ref="B22:C22"/>
    <mergeCell ref="G22:H22"/>
    <mergeCell ref="G25:H25"/>
    <mergeCell ref="G29:H29"/>
    <mergeCell ref="B6:C6"/>
    <mergeCell ref="G6:H6"/>
    <mergeCell ref="B9:C9"/>
    <mergeCell ref="B15:C15"/>
    <mergeCell ref="B28:C28"/>
    <mergeCell ref="B26:C26"/>
    <mergeCell ref="G8:H8"/>
    <mergeCell ref="B5:C5"/>
    <mergeCell ref="G5:H5"/>
    <mergeCell ref="B2:K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orientation="landscape" r:id="rId1"/>
  <ignoredErrors>
    <ignoredError sqref="K25 K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35A62-8F56-435A-A0A8-14ECF86F5AB2}">
  <sheetPr>
    <tabColor theme="4" tint="0.59999389629810485"/>
  </sheetPr>
  <dimension ref="A2:F45"/>
  <sheetViews>
    <sheetView workbookViewId="0">
      <selection activeCell="G52" sqref="G52"/>
    </sheetView>
  </sheetViews>
  <sheetFormatPr baseColWidth="10" defaultColWidth="11.5703125" defaultRowHeight="12" x14ac:dyDescent="0.2"/>
  <cols>
    <col min="1" max="1" width="12" style="22" customWidth="1"/>
    <col min="2" max="2" width="54.5703125" style="19" customWidth="1"/>
    <col min="3" max="3" width="14.85546875" style="19" bestFit="1" customWidth="1"/>
    <col min="4" max="4" width="13.85546875" style="19" bestFit="1" customWidth="1"/>
    <col min="5" max="5" width="13.85546875" style="21" bestFit="1" customWidth="1"/>
    <col min="6" max="6" width="15.85546875" style="20" bestFit="1" customWidth="1"/>
    <col min="7" max="16384" width="11.5703125" style="19"/>
  </cols>
  <sheetData>
    <row r="2" spans="1:4" ht="12.75" x14ac:dyDescent="0.2">
      <c r="A2" s="211" t="s">
        <v>107</v>
      </c>
      <c r="B2" s="211"/>
      <c r="C2" s="211"/>
      <c r="D2" s="211"/>
    </row>
    <row r="3" spans="1:4" ht="24" x14ac:dyDescent="0.2">
      <c r="A3" s="143" t="s">
        <v>374</v>
      </c>
      <c r="B3" s="143"/>
      <c r="C3" s="143">
        <v>2024</v>
      </c>
      <c r="D3" s="143">
        <v>2023</v>
      </c>
    </row>
    <row r="4" spans="1:4" x14ac:dyDescent="0.2">
      <c r="A4" s="23"/>
      <c r="B4" s="25" t="s">
        <v>106</v>
      </c>
      <c r="C4" s="16">
        <f>SUM(C5)</f>
        <v>8776573.2400000002</v>
      </c>
      <c r="D4" s="16">
        <f>SUM(D5)</f>
        <v>8558834.2599999998</v>
      </c>
    </row>
    <row r="5" spans="1:4" x14ac:dyDescent="0.2">
      <c r="A5" s="24">
        <v>742</v>
      </c>
      <c r="B5" s="142" t="s">
        <v>105</v>
      </c>
      <c r="C5" s="15">
        <v>8776573.2400000002</v>
      </c>
      <c r="D5" s="15">
        <v>8558834.2599999998</v>
      </c>
    </row>
    <row r="6" spans="1:4" x14ac:dyDescent="0.2">
      <c r="A6" s="23"/>
      <c r="B6" s="25" t="s">
        <v>104</v>
      </c>
      <c r="C6" s="16">
        <f>SUM(C7,C10)</f>
        <v>495822651.18000001</v>
      </c>
      <c r="D6" s="16">
        <f>SUM(D7,D10)</f>
        <v>496452216.13</v>
      </c>
    </row>
    <row r="7" spans="1:4" x14ac:dyDescent="0.2">
      <c r="A7" s="23"/>
      <c r="B7" s="23" t="s">
        <v>103</v>
      </c>
      <c r="C7" s="15">
        <f>C9+C8</f>
        <v>407802012.06999999</v>
      </c>
      <c r="D7" s="15">
        <f>D9+D8</f>
        <v>402835639.80000001</v>
      </c>
    </row>
    <row r="8" spans="1:4" x14ac:dyDescent="0.2">
      <c r="A8" s="24">
        <v>750</v>
      </c>
      <c r="B8" s="23" t="s">
        <v>102</v>
      </c>
      <c r="C8" s="15">
        <v>0</v>
      </c>
      <c r="D8" s="15">
        <v>0</v>
      </c>
    </row>
    <row r="9" spans="1:4" x14ac:dyDescent="0.2">
      <c r="A9" s="24">
        <v>751</v>
      </c>
      <c r="B9" s="23" t="s">
        <v>101</v>
      </c>
      <c r="C9" s="15">
        <v>407802012.06999999</v>
      </c>
      <c r="D9" s="15">
        <v>402835639.80000001</v>
      </c>
    </row>
    <row r="10" spans="1:4" ht="24" x14ac:dyDescent="0.2">
      <c r="A10" s="24">
        <v>756</v>
      </c>
      <c r="B10" s="28" t="s">
        <v>100</v>
      </c>
      <c r="C10" s="15">
        <v>88020639.109999999</v>
      </c>
      <c r="D10" s="15">
        <v>93616576.329999998</v>
      </c>
    </row>
    <row r="11" spans="1:4" x14ac:dyDescent="0.2">
      <c r="A11" s="24"/>
      <c r="B11" s="25" t="s">
        <v>99</v>
      </c>
      <c r="C11" s="16">
        <f>SUM(C12)</f>
        <v>121602305.06999999</v>
      </c>
      <c r="D11" s="16">
        <f>SUM(D12)</f>
        <v>126474308.02</v>
      </c>
    </row>
    <row r="12" spans="1:4" x14ac:dyDescent="0.2">
      <c r="A12" s="24" t="s">
        <v>375</v>
      </c>
      <c r="B12" s="23" t="s">
        <v>98</v>
      </c>
      <c r="C12" s="15">
        <f>17371111.85+104231193.22</f>
        <v>121602305.06999999</v>
      </c>
      <c r="D12" s="15">
        <v>126474308.02</v>
      </c>
    </row>
    <row r="13" spans="1:4" x14ac:dyDescent="0.2">
      <c r="A13" s="24" t="s">
        <v>376</v>
      </c>
      <c r="B13" s="25" t="s">
        <v>97</v>
      </c>
      <c r="C13" s="16">
        <f>5005871.34+102183490.56</f>
        <v>107189361.90000001</v>
      </c>
      <c r="D13" s="16">
        <v>4101261.07</v>
      </c>
    </row>
    <row r="14" spans="1:4" ht="12.75" x14ac:dyDescent="0.2">
      <c r="A14" s="212" t="s">
        <v>96</v>
      </c>
      <c r="B14" s="212"/>
      <c r="C14" s="14">
        <f>SUM(C4,C6,C11,C13)</f>
        <v>733390891.38999999</v>
      </c>
      <c r="D14" s="14">
        <f>SUM(D4,D6,D11,D13)</f>
        <v>635586619.48000002</v>
      </c>
    </row>
    <row r="15" spans="1:4" x14ac:dyDescent="0.2">
      <c r="A15" s="23"/>
      <c r="B15" s="25" t="s">
        <v>95</v>
      </c>
      <c r="C15" s="16">
        <f>SUM(C16,C17)</f>
        <v>-537506867</v>
      </c>
      <c r="D15" s="16">
        <f>SUM(D16,D17)</f>
        <v>-520559633.31</v>
      </c>
    </row>
    <row r="16" spans="1:4" x14ac:dyDescent="0.2">
      <c r="A16" s="24" t="s">
        <v>94</v>
      </c>
      <c r="B16" s="23" t="s">
        <v>93</v>
      </c>
      <c r="C16" s="15">
        <v>-433696204.57999998</v>
      </c>
      <c r="D16" s="15">
        <v>-420933226.38</v>
      </c>
    </row>
    <row r="17" spans="1:4" ht="24" x14ac:dyDescent="0.2">
      <c r="A17" s="24" t="s">
        <v>92</v>
      </c>
      <c r="B17" s="23" t="s">
        <v>91</v>
      </c>
      <c r="C17" s="15">
        <f>-95712843.01-4237729.85-3860089.56</f>
        <v>-103810662.42</v>
      </c>
      <c r="D17" s="15">
        <v>-99626406.930000007</v>
      </c>
    </row>
    <row r="18" spans="1:4" x14ac:dyDescent="0.2">
      <c r="A18" s="24" t="s">
        <v>377</v>
      </c>
      <c r="B18" s="25" t="s">
        <v>90</v>
      </c>
      <c r="C18" s="16">
        <v>-19564385.68</v>
      </c>
      <c r="D18" s="16">
        <v>-26841778.43</v>
      </c>
    </row>
    <row r="19" spans="1:4" x14ac:dyDescent="0.2">
      <c r="A19" s="23"/>
      <c r="B19" s="25" t="s">
        <v>89</v>
      </c>
      <c r="C19" s="16">
        <f>SUM(C20)</f>
        <v>-38095.53</v>
      </c>
      <c r="D19" s="16">
        <f>SUM(D20)</f>
        <v>25391.759999999998</v>
      </c>
    </row>
    <row r="20" spans="1:4" x14ac:dyDescent="0.2">
      <c r="A20" s="24" t="s">
        <v>88</v>
      </c>
      <c r="B20" s="23" t="s">
        <v>87</v>
      </c>
      <c r="C20" s="15">
        <v>-38095.53</v>
      </c>
      <c r="D20" s="15">
        <v>25391.759999999998</v>
      </c>
    </row>
    <row r="21" spans="1:4" x14ac:dyDescent="0.2">
      <c r="A21" s="23"/>
      <c r="B21" s="25" t="s">
        <v>86</v>
      </c>
      <c r="C21" s="16">
        <f>SUM(C22,C23)</f>
        <v>-111920855.84999999</v>
      </c>
      <c r="D21" s="16">
        <f>SUM(D22,D23)</f>
        <v>-109675558.90000001</v>
      </c>
    </row>
    <row r="22" spans="1:4" ht="60" x14ac:dyDescent="0.2">
      <c r="A22" s="24" t="s">
        <v>378</v>
      </c>
      <c r="B22" s="23" t="s">
        <v>85</v>
      </c>
      <c r="C22" s="15">
        <f>-111920855.85-30780.64</f>
        <v>-111951636.48999999</v>
      </c>
      <c r="D22" s="15">
        <v>-109319889.40000001</v>
      </c>
    </row>
    <row r="23" spans="1:4" ht="24" x14ac:dyDescent="0.2">
      <c r="A23" s="24" t="s">
        <v>379</v>
      </c>
      <c r="B23" s="23" t="s">
        <v>84</v>
      </c>
      <c r="C23" s="15">
        <v>30780.639999999999</v>
      </c>
      <c r="D23" s="15">
        <v>-355669.5</v>
      </c>
    </row>
    <row r="24" spans="1:4" x14ac:dyDescent="0.2">
      <c r="A24" s="24" t="s">
        <v>380</v>
      </c>
      <c r="B24" s="25" t="s">
        <v>83</v>
      </c>
      <c r="C24" s="16">
        <v>-26061829.43</v>
      </c>
      <c r="D24" s="16">
        <v>-24819988.07</v>
      </c>
    </row>
    <row r="25" spans="1:4" ht="12.75" x14ac:dyDescent="0.2">
      <c r="A25" s="212" t="s">
        <v>82</v>
      </c>
      <c r="B25" s="212"/>
      <c r="C25" s="14">
        <f>C24+C21+C19+C18+C15</f>
        <v>-695092033.49000001</v>
      </c>
      <c r="D25" s="14">
        <f>D24+D21+D19+D18+D15</f>
        <v>-681871566.95000005</v>
      </c>
    </row>
    <row r="26" spans="1:4" x14ac:dyDescent="0.2">
      <c r="A26" s="27"/>
      <c r="B26" s="26"/>
      <c r="C26" s="15"/>
      <c r="D26" s="15"/>
    </row>
    <row r="27" spans="1:4" ht="12.75" x14ac:dyDescent="0.2">
      <c r="A27" s="212" t="s">
        <v>81</v>
      </c>
      <c r="B27" s="212"/>
      <c r="C27" s="14">
        <f>C25+C14</f>
        <v>38298857.899999976</v>
      </c>
      <c r="D27" s="14">
        <f>D25+D14</f>
        <v>-46284947.470000029</v>
      </c>
    </row>
    <row r="28" spans="1:4" ht="24" x14ac:dyDescent="0.2">
      <c r="A28" s="23"/>
      <c r="B28" s="25" t="s">
        <v>80</v>
      </c>
      <c r="C28" s="16">
        <f>SUM(C29:C30)</f>
        <v>107270.39</v>
      </c>
      <c r="D28" s="16">
        <f>SUM(D29:D30)</f>
        <v>49241.270000000004</v>
      </c>
    </row>
    <row r="29" spans="1:4" x14ac:dyDescent="0.2">
      <c r="A29" s="24" t="s">
        <v>79</v>
      </c>
      <c r="B29" s="23" t="s">
        <v>78</v>
      </c>
      <c r="C29" s="15">
        <v>0</v>
      </c>
      <c r="D29" s="15">
        <v>-1216.95</v>
      </c>
    </row>
    <row r="30" spans="1:4" x14ac:dyDescent="0.2">
      <c r="A30" s="24">
        <v>771</v>
      </c>
      <c r="B30" s="23" t="s">
        <v>77</v>
      </c>
      <c r="C30" s="15">
        <v>107270.39</v>
      </c>
      <c r="D30" s="15">
        <v>50458.22</v>
      </c>
    </row>
    <row r="31" spans="1:4" x14ac:dyDescent="0.2">
      <c r="A31" s="24"/>
      <c r="B31" s="25" t="s">
        <v>76</v>
      </c>
      <c r="C31" s="16">
        <f>SUM(C32,C33)</f>
        <v>956428.29999999993</v>
      </c>
      <c r="D31" s="16">
        <f>SUM(D32,D33)</f>
        <v>1315981.78</v>
      </c>
    </row>
    <row r="32" spans="1:4" x14ac:dyDescent="0.2">
      <c r="A32" s="24" t="s">
        <v>381</v>
      </c>
      <c r="B32" s="23" t="s">
        <v>75</v>
      </c>
      <c r="C32" s="15">
        <f>1061402.04+3086.91</f>
        <v>1064488.95</v>
      </c>
      <c r="D32" s="15">
        <v>1393515.3</v>
      </c>
    </row>
    <row r="33" spans="1:4" x14ac:dyDescent="0.2">
      <c r="A33" s="24" t="s">
        <v>382</v>
      </c>
      <c r="B33" s="23" t="s">
        <v>74</v>
      </c>
      <c r="C33" s="15">
        <f>-108060.65</f>
        <v>-108060.65</v>
      </c>
      <c r="D33" s="15">
        <v>-77533.52</v>
      </c>
    </row>
    <row r="34" spans="1:4" ht="12.75" x14ac:dyDescent="0.2">
      <c r="A34" s="212" t="s">
        <v>73</v>
      </c>
      <c r="B34" s="212"/>
      <c r="C34" s="14">
        <f>SUM(C27,C28,C31)</f>
        <v>39362556.589999974</v>
      </c>
      <c r="D34" s="14">
        <f>SUM(D27,D28,D31)</f>
        <v>-44919724.420000024</v>
      </c>
    </row>
    <row r="35" spans="1:4" x14ac:dyDescent="0.2">
      <c r="A35" s="23"/>
      <c r="B35" s="25" t="s">
        <v>72</v>
      </c>
      <c r="C35" s="16">
        <f>C36</f>
        <v>3002100.3</v>
      </c>
      <c r="D35" s="16">
        <f>D36</f>
        <v>3436202.42</v>
      </c>
    </row>
    <row r="36" spans="1:4" x14ac:dyDescent="0.2">
      <c r="A36" s="23"/>
      <c r="B36" s="23" t="s">
        <v>71</v>
      </c>
      <c r="C36" s="15">
        <f>SUM(C37)</f>
        <v>3002100.3</v>
      </c>
      <c r="D36" s="15">
        <f>SUM(D37)</f>
        <v>3436202.42</v>
      </c>
    </row>
    <row r="37" spans="1:4" x14ac:dyDescent="0.2">
      <c r="A37" s="24">
        <v>769</v>
      </c>
      <c r="B37" s="23" t="s">
        <v>70</v>
      </c>
      <c r="C37" s="15">
        <v>3002100.3</v>
      </c>
      <c r="D37" s="15">
        <v>3436202.42</v>
      </c>
    </row>
    <row r="38" spans="1:4" x14ac:dyDescent="0.2">
      <c r="A38" s="24"/>
      <c r="B38" s="25" t="s">
        <v>69</v>
      </c>
      <c r="C38" s="16">
        <f>SUM(C39)</f>
        <v>-742544.2</v>
      </c>
      <c r="D38" s="16">
        <f>SUM(D39)</f>
        <v>-618285.84</v>
      </c>
    </row>
    <row r="39" spans="1:4" x14ac:dyDescent="0.2">
      <c r="A39" s="24" t="s">
        <v>383</v>
      </c>
      <c r="B39" s="23" t="s">
        <v>64</v>
      </c>
      <c r="C39" s="15">
        <f>-742544.2</f>
        <v>-742544.2</v>
      </c>
      <c r="D39" s="15">
        <v>-618285.84</v>
      </c>
    </row>
    <row r="40" spans="1:4" x14ac:dyDescent="0.2">
      <c r="A40" s="24">
        <v>768</v>
      </c>
      <c r="B40" s="25" t="s">
        <v>68</v>
      </c>
      <c r="C40" s="16">
        <v>-7135.61</v>
      </c>
      <c r="D40" s="16">
        <v>-1319.63</v>
      </c>
    </row>
    <row r="41" spans="1:4" ht="24" x14ac:dyDescent="0.2">
      <c r="A41" s="24"/>
      <c r="B41" s="25" t="s">
        <v>67</v>
      </c>
      <c r="C41" s="16">
        <f>SUM(C42:C43)</f>
        <v>-1453233.01</v>
      </c>
      <c r="D41" s="16">
        <f>SUM(D42:D43)</f>
        <v>14153.75</v>
      </c>
    </row>
    <row r="42" spans="1:4" x14ac:dyDescent="0.2">
      <c r="A42" s="24" t="s">
        <v>66</v>
      </c>
      <c r="B42" s="23" t="s">
        <v>65</v>
      </c>
      <c r="C42" s="15">
        <v>0</v>
      </c>
      <c r="D42" s="15">
        <v>-3568.36</v>
      </c>
    </row>
    <row r="43" spans="1:4" x14ac:dyDescent="0.2">
      <c r="A43" s="24" t="s">
        <v>384</v>
      </c>
      <c r="B43" s="23" t="s">
        <v>64</v>
      </c>
      <c r="C43" s="15">
        <f>-1455897.92+2664.91</f>
        <v>-1453233.01</v>
      </c>
      <c r="D43" s="15">
        <v>17722.11</v>
      </c>
    </row>
    <row r="44" spans="1:4" ht="12.75" x14ac:dyDescent="0.2">
      <c r="A44" s="212" t="s">
        <v>63</v>
      </c>
      <c r="B44" s="212"/>
      <c r="C44" s="14">
        <f>C41+C40+C38+C35</f>
        <v>799187.47999999952</v>
      </c>
      <c r="D44" s="14">
        <f>D41+D40+D38+D35</f>
        <v>2830750.7</v>
      </c>
    </row>
    <row r="45" spans="1:4" x14ac:dyDescent="0.2">
      <c r="A45" s="210" t="s">
        <v>62</v>
      </c>
      <c r="B45" s="210"/>
      <c r="C45" s="14">
        <f>C34+C44</f>
        <v>40161744.06999997</v>
      </c>
      <c r="D45" s="14">
        <f>D34+D44</f>
        <v>-42088973.720000021</v>
      </c>
    </row>
  </sheetData>
  <mergeCells count="7">
    <mergeCell ref="A45:B45"/>
    <mergeCell ref="A2:D2"/>
    <mergeCell ref="A14:B14"/>
    <mergeCell ref="A25:B25"/>
    <mergeCell ref="A27:B27"/>
    <mergeCell ref="A34:B34"/>
    <mergeCell ref="A44:B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4B9C3-E3FB-4709-AF59-3B62ED6BF885}">
  <sheetPr>
    <tabColor theme="4" tint="0.59999389629810485"/>
  </sheetPr>
  <dimension ref="A1:K128"/>
  <sheetViews>
    <sheetView topLeftCell="A103" workbookViewId="0">
      <selection activeCell="F134" sqref="F134"/>
    </sheetView>
  </sheetViews>
  <sheetFormatPr baseColWidth="10" defaultColWidth="11.42578125" defaultRowHeight="15.75" x14ac:dyDescent="0.25"/>
  <cols>
    <col min="1" max="1" width="12.85546875" style="30" customWidth="1"/>
    <col min="2" max="2" width="7.28515625" style="29" customWidth="1"/>
    <col min="3" max="3" width="31.7109375" style="29" customWidth="1"/>
    <col min="4" max="5" width="18.5703125" style="29" bestFit="1" customWidth="1"/>
    <col min="6" max="6" width="19.7109375" style="29" customWidth="1"/>
    <col min="7" max="7" width="18.5703125" style="29" bestFit="1" customWidth="1"/>
    <col min="8" max="8" width="17.140625" style="29" bestFit="1" customWidth="1"/>
    <col min="9" max="9" width="6.5703125" style="29" customWidth="1"/>
    <col min="10" max="10" width="11.42578125" style="29"/>
    <col min="11" max="11" width="15.85546875" style="29" bestFit="1" customWidth="1"/>
    <col min="12" max="16384" width="11.42578125" style="29"/>
  </cols>
  <sheetData>
    <row r="1" spans="2:9" s="157" customFormat="1" x14ac:dyDescent="0.25"/>
    <row r="2" spans="2:9" s="157" customFormat="1" x14ac:dyDescent="0.25"/>
    <row r="3" spans="2:9" s="157" customFormat="1" x14ac:dyDescent="0.25">
      <c r="B3" s="158" t="s">
        <v>177</v>
      </c>
    </row>
    <row r="4" spans="2:9" s="157" customFormat="1" x14ac:dyDescent="0.25">
      <c r="B4" s="158"/>
    </row>
    <row r="5" spans="2:9" s="157" customFormat="1" x14ac:dyDescent="0.25">
      <c r="B5" s="158" t="s">
        <v>176</v>
      </c>
    </row>
    <row r="6" spans="2:9" s="157" customFormat="1" ht="16.5" thickBot="1" x14ac:dyDescent="0.3"/>
    <row r="7" spans="2:9" s="157" customFormat="1" ht="16.5" thickTop="1" x14ac:dyDescent="0.25">
      <c r="B7" s="105"/>
      <c r="C7" s="106"/>
      <c r="D7" s="106"/>
      <c r="E7" s="106"/>
      <c r="F7" s="106"/>
      <c r="G7" s="106"/>
      <c r="H7" s="106"/>
      <c r="I7" s="107"/>
    </row>
    <row r="8" spans="2:9" s="157" customFormat="1" ht="16.5" thickBot="1" x14ac:dyDescent="0.3">
      <c r="B8" s="108"/>
      <c r="C8" s="109" t="s">
        <v>175</v>
      </c>
      <c r="H8" s="32">
        <v>63216936.93</v>
      </c>
      <c r="I8" s="110"/>
    </row>
    <row r="9" spans="2:9" s="157" customFormat="1" x14ac:dyDescent="0.25">
      <c r="B9" s="111"/>
      <c r="C9" s="159" t="s">
        <v>154</v>
      </c>
      <c r="H9" s="31">
        <v>168151935.98000002</v>
      </c>
      <c r="I9" s="110"/>
    </row>
    <row r="10" spans="2:9" s="157" customFormat="1" x14ac:dyDescent="0.25">
      <c r="B10" s="111"/>
      <c r="I10" s="110"/>
    </row>
    <row r="11" spans="2:9" s="157" customFormat="1" x14ac:dyDescent="0.25">
      <c r="B11" s="111"/>
      <c r="C11" s="157" t="s">
        <v>174</v>
      </c>
      <c r="H11" s="160">
        <v>0.37595128811076561</v>
      </c>
      <c r="I11" s="110"/>
    </row>
    <row r="12" spans="2:9" s="157" customFormat="1" ht="16.5" thickBot="1" x14ac:dyDescent="0.3">
      <c r="B12" s="112"/>
      <c r="C12" s="113"/>
      <c r="D12" s="113"/>
      <c r="E12" s="113"/>
      <c r="F12" s="113"/>
      <c r="G12" s="113"/>
      <c r="H12" s="113"/>
      <c r="I12" s="114"/>
    </row>
    <row r="13" spans="2:9" s="157" customFormat="1" ht="16.5" thickTop="1" x14ac:dyDescent="0.25"/>
    <row r="14" spans="2:9" s="157" customFormat="1" x14ac:dyDescent="0.25"/>
    <row r="15" spans="2:9" s="157" customFormat="1" x14ac:dyDescent="0.25"/>
    <row r="16" spans="2:9" s="157" customFormat="1" x14ac:dyDescent="0.25">
      <c r="B16" s="158" t="s">
        <v>173</v>
      </c>
    </row>
    <row r="17" spans="2:9" s="157" customFormat="1" x14ac:dyDescent="0.25">
      <c r="B17" s="158"/>
    </row>
    <row r="18" spans="2:9" s="157" customFormat="1" x14ac:dyDescent="0.25">
      <c r="B18" s="158" t="s">
        <v>172</v>
      </c>
    </row>
    <row r="19" spans="2:9" s="157" customFormat="1" ht="16.5" thickBot="1" x14ac:dyDescent="0.3"/>
    <row r="20" spans="2:9" s="157" customFormat="1" ht="16.5" thickTop="1" x14ac:dyDescent="0.25">
      <c r="B20" s="105"/>
      <c r="C20" s="106"/>
      <c r="D20" s="106"/>
      <c r="E20" s="106"/>
      <c r="F20" s="106"/>
      <c r="G20" s="106"/>
      <c r="H20" s="106"/>
      <c r="I20" s="107"/>
    </row>
    <row r="21" spans="2:9" s="157" customFormat="1" ht="15" customHeight="1" x14ac:dyDescent="0.25">
      <c r="B21" s="214"/>
      <c r="C21" s="159" t="s">
        <v>171</v>
      </c>
      <c r="D21" s="158"/>
      <c r="G21" s="161" t="s">
        <v>148</v>
      </c>
      <c r="H21" s="31">
        <v>63216936.93</v>
      </c>
      <c r="I21" s="110" t="s">
        <v>147</v>
      </c>
    </row>
    <row r="22" spans="2:9" s="157" customFormat="1" ht="15.75" customHeight="1" thickBot="1" x14ac:dyDescent="0.3">
      <c r="B22" s="214"/>
      <c r="C22" s="109" t="s">
        <v>170</v>
      </c>
      <c r="D22" s="109"/>
      <c r="G22" s="158"/>
      <c r="H22" s="32">
        <v>88985773.599999994</v>
      </c>
      <c r="I22" s="110" t="s">
        <v>145</v>
      </c>
    </row>
    <row r="23" spans="2:9" s="157" customFormat="1" x14ac:dyDescent="0.25">
      <c r="B23" s="111"/>
      <c r="C23" s="159" t="s">
        <v>169</v>
      </c>
      <c r="H23" s="31">
        <v>168151935.98000002</v>
      </c>
      <c r="I23" s="110"/>
    </row>
    <row r="24" spans="2:9" s="157" customFormat="1" x14ac:dyDescent="0.25">
      <c r="B24" s="111"/>
      <c r="I24" s="110"/>
    </row>
    <row r="25" spans="2:9" s="157" customFormat="1" x14ac:dyDescent="0.25">
      <c r="B25" s="111"/>
      <c r="C25" s="157" t="s">
        <v>168</v>
      </c>
      <c r="H25" s="162">
        <v>0.90514991482526241</v>
      </c>
      <c r="I25" s="110"/>
    </row>
    <row r="26" spans="2:9" s="157" customFormat="1" ht="16.5" thickBot="1" x14ac:dyDescent="0.3">
      <c r="B26" s="112"/>
      <c r="C26" s="113"/>
      <c r="D26" s="113"/>
      <c r="E26" s="113"/>
      <c r="F26" s="113"/>
      <c r="G26" s="113"/>
      <c r="H26" s="113"/>
      <c r="I26" s="114"/>
    </row>
    <row r="27" spans="2:9" s="157" customFormat="1" ht="16.5" thickTop="1" x14ac:dyDescent="0.25"/>
    <row r="28" spans="2:9" s="157" customFormat="1" x14ac:dyDescent="0.25"/>
    <row r="29" spans="2:9" s="157" customFormat="1" x14ac:dyDescent="0.25"/>
    <row r="30" spans="2:9" s="157" customFormat="1" x14ac:dyDescent="0.25">
      <c r="B30" s="158" t="s">
        <v>167</v>
      </c>
    </row>
    <row r="31" spans="2:9" s="157" customFormat="1" x14ac:dyDescent="0.25">
      <c r="B31" s="158"/>
    </row>
    <row r="32" spans="2:9" s="157" customFormat="1" x14ac:dyDescent="0.25">
      <c r="B32" s="158" t="s">
        <v>166</v>
      </c>
    </row>
    <row r="33" spans="2:9" s="157" customFormat="1" ht="16.5" thickBot="1" x14ac:dyDescent="0.3"/>
    <row r="34" spans="2:9" s="157" customFormat="1" ht="16.5" thickTop="1" x14ac:dyDescent="0.25">
      <c r="B34" s="105"/>
      <c r="C34" s="106"/>
      <c r="D34" s="106"/>
      <c r="E34" s="106"/>
      <c r="F34" s="106"/>
      <c r="G34" s="106"/>
      <c r="H34" s="106"/>
      <c r="I34" s="107"/>
    </row>
    <row r="35" spans="2:9" s="157" customFormat="1" ht="16.5" thickBot="1" x14ac:dyDescent="0.3">
      <c r="B35" s="108"/>
      <c r="C35" s="109" t="s">
        <v>165</v>
      </c>
      <c r="H35" s="32">
        <v>182204090.59</v>
      </c>
      <c r="I35" s="110"/>
    </row>
    <row r="36" spans="2:9" s="157" customFormat="1" x14ac:dyDescent="0.25">
      <c r="B36" s="111"/>
      <c r="C36" s="159" t="s">
        <v>154</v>
      </c>
      <c r="H36" s="31">
        <v>168151935.98000002</v>
      </c>
      <c r="I36" s="110"/>
    </row>
    <row r="37" spans="2:9" s="157" customFormat="1" x14ac:dyDescent="0.25">
      <c r="B37" s="111"/>
      <c r="I37" s="110"/>
    </row>
    <row r="38" spans="2:9" s="157" customFormat="1" x14ac:dyDescent="0.25">
      <c r="B38" s="111"/>
      <c r="C38" s="157" t="s">
        <v>164</v>
      </c>
      <c r="H38" s="37">
        <v>1.0835681999621543</v>
      </c>
      <c r="I38" s="110"/>
    </row>
    <row r="39" spans="2:9" s="157" customFormat="1" ht="16.5" thickBot="1" x14ac:dyDescent="0.3">
      <c r="B39" s="112"/>
      <c r="C39" s="113"/>
      <c r="D39" s="113"/>
      <c r="E39" s="113"/>
      <c r="F39" s="113"/>
      <c r="G39" s="113"/>
      <c r="H39" s="36"/>
      <c r="I39" s="114"/>
    </row>
    <row r="40" spans="2:9" s="157" customFormat="1" ht="16.5" thickTop="1" x14ac:dyDescent="0.25"/>
    <row r="41" spans="2:9" s="157" customFormat="1" x14ac:dyDescent="0.25"/>
    <row r="42" spans="2:9" s="157" customFormat="1" x14ac:dyDescent="0.25">
      <c r="B42" s="158" t="s">
        <v>163</v>
      </c>
    </row>
    <row r="43" spans="2:9" s="157" customFormat="1" x14ac:dyDescent="0.25"/>
    <row r="44" spans="2:9" s="157" customFormat="1" x14ac:dyDescent="0.25">
      <c r="B44" s="158" t="s">
        <v>162</v>
      </c>
    </row>
    <row r="45" spans="2:9" s="157" customFormat="1" ht="16.5" thickBot="1" x14ac:dyDescent="0.3"/>
    <row r="46" spans="2:9" s="157" customFormat="1" ht="16.5" thickTop="1" x14ac:dyDescent="0.25">
      <c r="B46" s="105"/>
      <c r="C46" s="106"/>
      <c r="D46" s="106"/>
      <c r="E46" s="106"/>
      <c r="F46" s="106"/>
      <c r="G46" s="106"/>
      <c r="H46" s="106"/>
      <c r="I46" s="107"/>
    </row>
    <row r="47" spans="2:9" s="157" customFormat="1" x14ac:dyDescent="0.25">
      <c r="B47" s="214"/>
      <c r="C47" s="159" t="s">
        <v>160</v>
      </c>
      <c r="G47" s="161" t="s">
        <v>148</v>
      </c>
      <c r="H47" s="31">
        <v>168151935.98000002</v>
      </c>
      <c r="I47" s="110" t="s">
        <v>147</v>
      </c>
    </row>
    <row r="48" spans="2:9" s="157" customFormat="1" ht="16.5" thickBot="1" x14ac:dyDescent="0.3">
      <c r="B48" s="214"/>
      <c r="C48" s="115" t="s">
        <v>161</v>
      </c>
      <c r="G48" s="161"/>
      <c r="H48" s="32">
        <v>153485578.16</v>
      </c>
      <c r="I48" s="110" t="s">
        <v>145</v>
      </c>
    </row>
    <row r="49" spans="2:11" s="157" customFormat="1" x14ac:dyDescent="0.25">
      <c r="B49" s="215"/>
      <c r="C49" s="159" t="s">
        <v>160</v>
      </c>
      <c r="G49" s="163" t="s">
        <v>148</v>
      </c>
      <c r="H49" s="31">
        <v>168151935.98000002</v>
      </c>
      <c r="I49" s="110" t="s">
        <v>147</v>
      </c>
      <c r="K49" s="164"/>
    </row>
    <row r="50" spans="2:11" s="157" customFormat="1" x14ac:dyDescent="0.25">
      <c r="B50" s="215"/>
      <c r="C50" s="159" t="s">
        <v>159</v>
      </c>
      <c r="G50" s="165"/>
      <c r="H50" s="31">
        <v>153485578.16</v>
      </c>
      <c r="I50" s="110" t="s">
        <v>147</v>
      </c>
      <c r="K50" s="164"/>
    </row>
    <row r="51" spans="2:11" s="157" customFormat="1" x14ac:dyDescent="0.25">
      <c r="B51" s="215"/>
      <c r="C51" s="159" t="s">
        <v>158</v>
      </c>
      <c r="G51" s="165"/>
      <c r="H51" s="166">
        <v>1798472269.23</v>
      </c>
      <c r="I51" s="110" t="s">
        <v>145</v>
      </c>
      <c r="K51" s="164"/>
    </row>
    <row r="52" spans="2:11" s="157" customFormat="1" x14ac:dyDescent="0.25">
      <c r="B52" s="111"/>
      <c r="I52" s="110"/>
    </row>
    <row r="53" spans="2:11" s="157" customFormat="1" x14ac:dyDescent="0.25">
      <c r="B53" s="111"/>
      <c r="C53" s="157" t="s">
        <v>157</v>
      </c>
      <c r="H53" s="162">
        <v>0.15170795241968282</v>
      </c>
      <c r="I53" s="110"/>
    </row>
    <row r="54" spans="2:11" s="157" customFormat="1" ht="16.5" thickBot="1" x14ac:dyDescent="0.3">
      <c r="B54" s="112"/>
      <c r="C54" s="113"/>
      <c r="D54" s="113"/>
      <c r="E54" s="113"/>
      <c r="F54" s="113"/>
      <c r="G54" s="113"/>
      <c r="H54" s="113"/>
      <c r="I54" s="114"/>
    </row>
    <row r="55" spans="2:11" s="157" customFormat="1" ht="16.5" thickTop="1" x14ac:dyDescent="0.25"/>
    <row r="56" spans="2:11" s="157" customFormat="1" x14ac:dyDescent="0.25"/>
    <row r="57" spans="2:11" s="157" customFormat="1" x14ac:dyDescent="0.25">
      <c r="B57" s="158" t="s">
        <v>156</v>
      </c>
    </row>
    <row r="58" spans="2:11" s="157" customFormat="1" x14ac:dyDescent="0.25"/>
    <row r="59" spans="2:11" s="157" customFormat="1" x14ac:dyDescent="0.25">
      <c r="B59" s="158" t="s">
        <v>155</v>
      </c>
    </row>
    <row r="60" spans="2:11" s="157" customFormat="1" x14ac:dyDescent="0.25"/>
    <row r="61" spans="2:11" s="157" customFormat="1" ht="16.5" thickBot="1" x14ac:dyDescent="0.3"/>
    <row r="62" spans="2:11" s="157" customFormat="1" ht="16.5" thickTop="1" x14ac:dyDescent="0.25">
      <c r="B62" s="105"/>
      <c r="C62" s="106"/>
      <c r="D62" s="106"/>
      <c r="E62" s="106"/>
      <c r="F62" s="106"/>
      <c r="G62" s="106"/>
      <c r="H62" s="106"/>
      <c r="I62" s="107"/>
    </row>
    <row r="63" spans="2:11" s="157" customFormat="1" ht="16.5" thickBot="1" x14ac:dyDescent="0.3">
      <c r="B63" s="108"/>
      <c r="C63" s="116" t="s">
        <v>154</v>
      </c>
      <c r="H63" s="32">
        <v>168151935.98000002</v>
      </c>
      <c r="I63" s="110"/>
    </row>
    <row r="64" spans="2:11" s="157" customFormat="1" x14ac:dyDescent="0.25">
      <c r="B64" s="111"/>
      <c r="C64" s="157" t="s">
        <v>153</v>
      </c>
      <c r="H64" s="31">
        <v>153485578.16</v>
      </c>
      <c r="I64" s="110"/>
    </row>
    <row r="65" spans="2:9" s="157" customFormat="1" x14ac:dyDescent="0.25">
      <c r="B65" s="111"/>
      <c r="I65" s="110"/>
    </row>
    <row r="66" spans="2:9" s="157" customFormat="1" x14ac:dyDescent="0.25">
      <c r="B66" s="111"/>
      <c r="C66" s="157" t="s">
        <v>152</v>
      </c>
      <c r="H66" s="162">
        <v>1.0955552827556942</v>
      </c>
      <c r="I66" s="110"/>
    </row>
    <row r="67" spans="2:9" s="157" customFormat="1" ht="16.5" thickBot="1" x14ac:dyDescent="0.3">
      <c r="B67" s="112"/>
      <c r="C67" s="113"/>
      <c r="D67" s="113"/>
      <c r="E67" s="113"/>
      <c r="F67" s="113"/>
      <c r="G67" s="113"/>
      <c r="H67" s="113"/>
      <c r="I67" s="114"/>
    </row>
    <row r="68" spans="2:9" s="157" customFormat="1" ht="16.5" thickTop="1" x14ac:dyDescent="0.25"/>
    <row r="69" spans="2:9" s="157" customFormat="1" x14ac:dyDescent="0.25"/>
    <row r="70" spans="2:9" s="157" customFormat="1" x14ac:dyDescent="0.25">
      <c r="B70" s="158" t="s">
        <v>151</v>
      </c>
    </row>
    <row r="71" spans="2:9" s="157" customFormat="1" x14ac:dyDescent="0.25"/>
    <row r="72" spans="2:9" s="157" customFormat="1" x14ac:dyDescent="0.25">
      <c r="B72" s="158" t="s">
        <v>150</v>
      </c>
    </row>
    <row r="73" spans="2:9" s="157" customFormat="1" ht="16.5" thickBot="1" x14ac:dyDescent="0.3"/>
    <row r="74" spans="2:9" s="157" customFormat="1" ht="16.5" thickTop="1" x14ac:dyDescent="0.25">
      <c r="B74" s="105"/>
      <c r="C74" s="106"/>
      <c r="D74" s="106"/>
      <c r="E74" s="106"/>
      <c r="F74" s="106"/>
      <c r="G74" s="106"/>
      <c r="H74" s="106"/>
      <c r="I74" s="107"/>
    </row>
    <row r="75" spans="2:9" s="157" customFormat="1" x14ac:dyDescent="0.25">
      <c r="B75" s="214"/>
      <c r="C75" s="157" t="s">
        <v>149</v>
      </c>
      <c r="G75" s="161" t="s">
        <v>148</v>
      </c>
      <c r="H75" s="31">
        <v>153485578.16</v>
      </c>
      <c r="I75" s="110" t="s">
        <v>147</v>
      </c>
    </row>
    <row r="76" spans="2:9" s="157" customFormat="1" ht="16.5" thickBot="1" x14ac:dyDescent="0.3">
      <c r="B76" s="214"/>
      <c r="C76" s="116" t="s">
        <v>146</v>
      </c>
      <c r="G76" s="158"/>
      <c r="H76" s="32">
        <v>168151935.98000002</v>
      </c>
      <c r="I76" s="110" t="s">
        <v>145</v>
      </c>
    </row>
    <row r="77" spans="2:9" s="157" customFormat="1" x14ac:dyDescent="0.25">
      <c r="B77" s="108"/>
      <c r="C77" s="157" t="s">
        <v>144</v>
      </c>
      <c r="H77" s="31">
        <v>-8488964.7899999619</v>
      </c>
      <c r="I77" s="110"/>
    </row>
    <row r="78" spans="2:9" s="157" customFormat="1" x14ac:dyDescent="0.25">
      <c r="B78" s="111"/>
      <c r="I78" s="110"/>
    </row>
    <row r="79" spans="2:9" s="157" customFormat="1" x14ac:dyDescent="0.25">
      <c r="B79" s="111"/>
      <c r="C79" s="157" t="s">
        <v>143</v>
      </c>
      <c r="H79" s="162">
        <v>-37.888897185542625</v>
      </c>
      <c r="I79" s="110"/>
    </row>
    <row r="80" spans="2:9" s="157" customFormat="1" ht="16.5" thickBot="1" x14ac:dyDescent="0.3">
      <c r="B80" s="112"/>
      <c r="C80" s="113"/>
      <c r="D80" s="113"/>
      <c r="E80" s="113"/>
      <c r="F80" s="113"/>
      <c r="G80" s="113"/>
      <c r="H80" s="113"/>
      <c r="I80" s="114"/>
    </row>
    <row r="81" spans="2:3" s="157" customFormat="1" ht="16.5" thickTop="1" x14ac:dyDescent="0.25"/>
    <row r="82" spans="2:3" s="157" customFormat="1" x14ac:dyDescent="0.25"/>
    <row r="83" spans="2:3" s="157" customFormat="1" x14ac:dyDescent="0.25">
      <c r="C83" s="157" t="s">
        <v>142</v>
      </c>
    </row>
    <row r="84" spans="2:3" s="157" customFormat="1" x14ac:dyDescent="0.25">
      <c r="C84" s="157" t="s">
        <v>141</v>
      </c>
    </row>
    <row r="85" spans="2:3" s="157" customFormat="1" x14ac:dyDescent="0.25"/>
    <row r="86" spans="2:3" s="157" customFormat="1" x14ac:dyDescent="0.25"/>
    <row r="87" spans="2:3" s="157" customFormat="1" x14ac:dyDescent="0.25"/>
    <row r="88" spans="2:3" s="157" customFormat="1" x14ac:dyDescent="0.25">
      <c r="B88" s="158" t="s">
        <v>140</v>
      </c>
    </row>
    <row r="89" spans="2:3" s="157" customFormat="1" x14ac:dyDescent="0.25"/>
    <row r="90" spans="2:3" s="157" customFormat="1" x14ac:dyDescent="0.25">
      <c r="B90" s="158" t="s">
        <v>139</v>
      </c>
    </row>
    <row r="91" spans="2:3" s="157" customFormat="1" x14ac:dyDescent="0.25"/>
    <row r="92" spans="2:3" s="157" customFormat="1" x14ac:dyDescent="0.25">
      <c r="B92" s="158" t="s">
        <v>138</v>
      </c>
    </row>
    <row r="93" spans="2:3" s="157" customFormat="1" x14ac:dyDescent="0.25">
      <c r="B93" s="158"/>
    </row>
    <row r="94" spans="2:3" s="157" customFormat="1" x14ac:dyDescent="0.25">
      <c r="B94" s="158" t="s">
        <v>137</v>
      </c>
    </row>
    <row r="95" spans="2:3" s="157" customFormat="1" x14ac:dyDescent="0.25">
      <c r="B95" s="158"/>
    </row>
    <row r="96" spans="2:3" s="157" customFormat="1" x14ac:dyDescent="0.25">
      <c r="B96" s="158" t="s">
        <v>136</v>
      </c>
    </row>
    <row r="97" spans="2:7" s="157" customFormat="1" x14ac:dyDescent="0.25">
      <c r="B97" s="158"/>
    </row>
    <row r="98" spans="2:7" s="157" customFormat="1" x14ac:dyDescent="0.25">
      <c r="B98" s="158" t="s">
        <v>135</v>
      </c>
    </row>
    <row r="99" spans="2:7" s="157" customFormat="1" x14ac:dyDescent="0.25">
      <c r="B99" s="158"/>
    </row>
    <row r="100" spans="2:7" s="157" customFormat="1" x14ac:dyDescent="0.25">
      <c r="B100" s="158" t="s">
        <v>134</v>
      </c>
    </row>
    <row r="101" spans="2:7" s="157" customFormat="1" x14ac:dyDescent="0.25"/>
    <row r="102" spans="2:7" s="157" customFormat="1" x14ac:dyDescent="0.25">
      <c r="B102" s="158" t="s">
        <v>133</v>
      </c>
    </row>
    <row r="103" spans="2:7" s="157" customFormat="1" ht="16.5" thickBot="1" x14ac:dyDescent="0.3">
      <c r="B103" s="158"/>
    </row>
    <row r="104" spans="2:7" s="157" customFormat="1" ht="17.25" thickTop="1" thickBot="1" x14ac:dyDescent="0.3">
      <c r="C104" s="213" t="s">
        <v>132</v>
      </c>
      <c r="D104" s="213"/>
      <c r="E104" s="213"/>
      <c r="F104" s="213"/>
      <c r="G104" s="213"/>
    </row>
    <row r="105" spans="2:7" s="157" customFormat="1" ht="17.25" thickTop="1" thickBot="1" x14ac:dyDescent="0.3">
      <c r="C105" s="117" t="s">
        <v>131</v>
      </c>
      <c r="D105" s="117" t="s">
        <v>127</v>
      </c>
      <c r="E105" s="117" t="s">
        <v>130</v>
      </c>
      <c r="F105" s="117" t="s">
        <v>129</v>
      </c>
      <c r="G105" s="117" t="s">
        <v>124</v>
      </c>
    </row>
    <row r="106" spans="2:7" s="157" customFormat="1" ht="17.25" thickTop="1" thickBot="1" x14ac:dyDescent="0.3">
      <c r="C106" s="118">
        <v>8776573.2400000002</v>
      </c>
      <c r="D106" s="118">
        <v>495822651.18000001</v>
      </c>
      <c r="E106" s="118">
        <v>121602305.06999999</v>
      </c>
      <c r="F106" s="118">
        <v>107189361.90000001</v>
      </c>
      <c r="G106" s="35">
        <v>733390891.38999999</v>
      </c>
    </row>
    <row r="107" spans="2:7" s="157" customFormat="1" ht="17.25" thickTop="1" thickBot="1" x14ac:dyDescent="0.3">
      <c r="C107" s="117" t="s">
        <v>128</v>
      </c>
      <c r="D107" s="117" t="s">
        <v>127</v>
      </c>
      <c r="E107" s="117" t="s">
        <v>126</v>
      </c>
      <c r="F107" s="117" t="s">
        <v>125</v>
      </c>
      <c r="G107" s="117" t="s">
        <v>124</v>
      </c>
    </row>
    <row r="108" spans="2:7" s="157" customFormat="1" ht="17.25" thickTop="1" thickBot="1" x14ac:dyDescent="0.3">
      <c r="C108" s="34">
        <v>1.1967115140148128E-2</v>
      </c>
      <c r="D108" s="34">
        <v>0.77100000000000002</v>
      </c>
      <c r="E108" s="34">
        <v>0.16580831108977429</v>
      </c>
      <c r="F108" s="34">
        <v>0.14615584016436772</v>
      </c>
      <c r="G108" s="34">
        <v>1</v>
      </c>
    </row>
    <row r="109" spans="2:7" s="157" customFormat="1" ht="16.5" thickTop="1" x14ac:dyDescent="0.25">
      <c r="C109" s="33"/>
      <c r="D109" s="33"/>
      <c r="E109" s="33"/>
      <c r="F109" s="33"/>
      <c r="G109" s="33"/>
    </row>
    <row r="110" spans="2:7" s="157" customFormat="1" ht="12" customHeight="1" x14ac:dyDescent="0.25">
      <c r="B110" s="158" t="s">
        <v>123</v>
      </c>
    </row>
    <row r="111" spans="2:7" s="157" customFormat="1" ht="16.5" thickBot="1" x14ac:dyDescent="0.3"/>
    <row r="112" spans="2:7" s="157" customFormat="1" ht="17.25" thickTop="1" thickBot="1" x14ac:dyDescent="0.3">
      <c r="C112" s="213" t="s">
        <v>122</v>
      </c>
      <c r="D112" s="213"/>
      <c r="E112" s="213"/>
      <c r="F112" s="213"/>
      <c r="G112" s="213"/>
    </row>
    <row r="113" spans="2:9" s="157" customFormat="1" ht="17.25" thickTop="1" thickBot="1" x14ac:dyDescent="0.3">
      <c r="C113" s="117" t="s">
        <v>121</v>
      </c>
      <c r="D113" s="117" t="s">
        <v>120</v>
      </c>
      <c r="E113" s="117" t="s">
        <v>119</v>
      </c>
      <c r="F113" s="117" t="s">
        <v>118</v>
      </c>
      <c r="G113" s="117" t="s">
        <v>113</v>
      </c>
    </row>
    <row r="114" spans="2:9" s="157" customFormat="1" ht="17.25" thickTop="1" thickBot="1" x14ac:dyDescent="0.3">
      <c r="C114" s="167">
        <v>537506867</v>
      </c>
      <c r="D114" s="118">
        <v>19564385.68</v>
      </c>
      <c r="E114" s="118">
        <v>38095.53</v>
      </c>
      <c r="F114" s="118">
        <v>137982685.28</v>
      </c>
      <c r="G114" s="35">
        <v>695092033.48999989</v>
      </c>
    </row>
    <row r="115" spans="2:9" s="157" customFormat="1" ht="17.25" thickTop="1" thickBot="1" x14ac:dyDescent="0.3">
      <c r="C115" s="117" t="s">
        <v>117</v>
      </c>
      <c r="D115" s="117" t="s">
        <v>116</v>
      </c>
      <c r="E115" s="117" t="s">
        <v>115</v>
      </c>
      <c r="F115" s="117" t="s">
        <v>114</v>
      </c>
      <c r="G115" s="117" t="s">
        <v>113</v>
      </c>
    </row>
    <row r="116" spans="2:9" s="157" customFormat="1" ht="17.25" thickTop="1" thickBot="1" x14ac:dyDescent="0.3">
      <c r="C116" s="34">
        <v>0.77328877487089343</v>
      </c>
      <c r="D116" s="34">
        <v>2.8146468003335947E-2</v>
      </c>
      <c r="E116" s="34">
        <v>5.4806454634108636E-5</v>
      </c>
      <c r="F116" s="34">
        <v>0.19850995067113675</v>
      </c>
      <c r="G116" s="34">
        <v>1.0000000000000002</v>
      </c>
    </row>
    <row r="117" spans="2:9" s="157" customFormat="1" ht="16.5" thickTop="1" x14ac:dyDescent="0.25">
      <c r="G117" s="33"/>
    </row>
    <row r="118" spans="2:9" s="157" customFormat="1" x14ac:dyDescent="0.25">
      <c r="B118" s="158" t="s">
        <v>112</v>
      </c>
    </row>
    <row r="119" spans="2:9" s="157" customFormat="1" x14ac:dyDescent="0.25"/>
    <row r="120" spans="2:9" s="157" customFormat="1" x14ac:dyDescent="0.25">
      <c r="B120" s="158" t="s">
        <v>111</v>
      </c>
    </row>
    <row r="121" spans="2:9" s="157" customFormat="1" ht="16.5" thickBot="1" x14ac:dyDescent="0.3"/>
    <row r="122" spans="2:9" s="157" customFormat="1" ht="16.5" thickTop="1" x14ac:dyDescent="0.25">
      <c r="B122" s="105"/>
      <c r="C122" s="106"/>
      <c r="D122" s="106"/>
      <c r="E122" s="106"/>
      <c r="F122" s="106"/>
      <c r="G122" s="106"/>
      <c r="H122" s="106"/>
      <c r="I122" s="107"/>
    </row>
    <row r="123" spans="2:9" s="157" customFormat="1" ht="16.5" thickBot="1" x14ac:dyDescent="0.3">
      <c r="B123" s="108"/>
      <c r="C123" s="109" t="s">
        <v>110</v>
      </c>
      <c r="H123" s="32">
        <v>695092033.48999989</v>
      </c>
      <c r="I123" s="110"/>
    </row>
    <row r="124" spans="2:9" s="157" customFormat="1" x14ac:dyDescent="0.25">
      <c r="B124" s="108"/>
      <c r="C124" s="159" t="s">
        <v>109</v>
      </c>
      <c r="H124" s="31">
        <v>733390891.38999999</v>
      </c>
      <c r="I124" s="110"/>
    </row>
    <row r="125" spans="2:9" s="157" customFormat="1" x14ac:dyDescent="0.25">
      <c r="B125" s="111"/>
      <c r="I125" s="110"/>
    </row>
    <row r="126" spans="2:9" s="157" customFormat="1" x14ac:dyDescent="0.25">
      <c r="B126" s="111"/>
      <c r="C126" s="157" t="s">
        <v>108</v>
      </c>
      <c r="H126" s="162">
        <v>0.94777838346558674</v>
      </c>
      <c r="I126" s="110"/>
    </row>
    <row r="127" spans="2:9" s="157" customFormat="1" ht="16.5" thickBot="1" x14ac:dyDescent="0.3">
      <c r="B127" s="112"/>
      <c r="C127" s="113"/>
      <c r="D127" s="113"/>
      <c r="E127" s="113"/>
      <c r="F127" s="113"/>
      <c r="G127" s="113"/>
      <c r="H127" s="113"/>
      <c r="I127" s="114"/>
    </row>
    <row r="128" spans="2:9" s="157" customFormat="1" ht="16.5" thickTop="1" x14ac:dyDescent="0.25"/>
  </sheetData>
  <mergeCells count="6">
    <mergeCell ref="C104:G104"/>
    <mergeCell ref="C112:G112"/>
    <mergeCell ref="B21:B22"/>
    <mergeCell ref="B47:B48"/>
    <mergeCell ref="B49:B51"/>
    <mergeCell ref="B75:B7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62120-3A76-43D3-96C6-4B5728E443DB}">
  <sheetPr>
    <tabColor theme="4" tint="0.59999389629810485"/>
  </sheetPr>
  <dimension ref="B1:J107"/>
  <sheetViews>
    <sheetView topLeftCell="A97" workbookViewId="0">
      <selection activeCell="I113" sqref="I113"/>
    </sheetView>
  </sheetViews>
  <sheetFormatPr baseColWidth="10" defaultColWidth="11.42578125" defaultRowHeight="15" x14ac:dyDescent="0.25"/>
  <cols>
    <col min="1" max="1" width="11.42578125" style="38"/>
    <col min="2" max="2" width="8.42578125" style="38" customWidth="1"/>
    <col min="3" max="4" width="11.42578125" style="38"/>
    <col min="5" max="5" width="5.85546875" style="38" customWidth="1"/>
    <col min="6" max="6" width="22" style="38" customWidth="1"/>
    <col min="7" max="7" width="0.42578125" style="38" hidden="1" customWidth="1"/>
    <col min="8" max="8" width="5.42578125" style="38" customWidth="1"/>
    <col min="9" max="9" width="17" style="38" bestFit="1" customWidth="1"/>
    <col min="10" max="10" width="10.85546875" style="38" customWidth="1"/>
    <col min="11" max="16384" width="11.42578125" style="38"/>
  </cols>
  <sheetData>
    <row r="1" spans="2:10" s="39" customFormat="1" x14ac:dyDescent="0.25">
      <c r="B1" s="54" t="s">
        <v>219</v>
      </c>
    </row>
    <row r="2" spans="2:10" s="39" customFormat="1" x14ac:dyDescent="0.25">
      <c r="B2" s="53"/>
    </row>
    <row r="3" spans="2:10" s="39" customFormat="1" x14ac:dyDescent="0.25">
      <c r="B3" s="53" t="s">
        <v>218</v>
      </c>
    </row>
    <row r="4" spans="2:10" s="39" customFormat="1" x14ac:dyDescent="0.25"/>
    <row r="5" spans="2:10" s="39" customFormat="1" x14ac:dyDescent="0.25">
      <c r="B5" s="53" t="s">
        <v>217</v>
      </c>
    </row>
    <row r="6" spans="2:10" s="39" customFormat="1" ht="15.75" thickBot="1" x14ac:dyDescent="0.3"/>
    <row r="7" spans="2:10" s="39" customFormat="1" ht="16.5" thickTop="1" x14ac:dyDescent="0.25">
      <c r="B7" s="52"/>
      <c r="C7" s="51"/>
      <c r="D7" s="51"/>
      <c r="E7" s="51"/>
      <c r="F7" s="51"/>
      <c r="G7" s="51"/>
      <c r="H7" s="51"/>
      <c r="I7" s="51"/>
      <c r="J7" s="50"/>
    </row>
    <row r="8" spans="2:10" s="39" customFormat="1" ht="16.5" thickBot="1" x14ac:dyDescent="0.3">
      <c r="B8" s="49"/>
      <c r="C8" s="47" t="s">
        <v>203</v>
      </c>
      <c r="D8" s="48"/>
      <c r="E8" s="48"/>
      <c r="I8" s="46">
        <v>710366772.22000003</v>
      </c>
      <c r="J8" s="43"/>
    </row>
    <row r="9" spans="2:10" s="39" customFormat="1" x14ac:dyDescent="0.25">
      <c r="B9" s="44"/>
      <c r="C9" s="168" t="s">
        <v>216</v>
      </c>
      <c r="I9" s="45">
        <v>854741989.84000003</v>
      </c>
      <c r="J9" s="43"/>
    </row>
    <row r="10" spans="2:10" s="39" customFormat="1" x14ac:dyDescent="0.25">
      <c r="B10" s="44"/>
      <c r="J10" s="43"/>
    </row>
    <row r="11" spans="2:10" s="39" customFormat="1" x14ac:dyDescent="0.25">
      <c r="B11" s="44"/>
      <c r="C11" s="168" t="s">
        <v>215</v>
      </c>
      <c r="I11" s="169">
        <v>0.8310891247462574</v>
      </c>
      <c r="J11" s="43"/>
    </row>
    <row r="12" spans="2:10" s="39" customFormat="1" ht="15.75" thickBot="1" x14ac:dyDescent="0.3">
      <c r="B12" s="42"/>
      <c r="C12" s="41"/>
      <c r="D12" s="41"/>
      <c r="E12" s="41"/>
      <c r="F12" s="41"/>
      <c r="G12" s="41"/>
      <c r="H12" s="41"/>
      <c r="I12" s="41"/>
      <c r="J12" s="40"/>
    </row>
    <row r="13" spans="2:10" s="39" customFormat="1" ht="15.75" thickTop="1" x14ac:dyDescent="0.25"/>
    <row r="14" spans="2:10" s="39" customFormat="1" x14ac:dyDescent="0.25">
      <c r="B14" s="53" t="s">
        <v>214</v>
      </c>
    </row>
    <row r="15" spans="2:10" s="39" customFormat="1" x14ac:dyDescent="0.25"/>
    <row r="16" spans="2:10" s="39" customFormat="1" x14ac:dyDescent="0.25">
      <c r="B16" s="53" t="s">
        <v>213</v>
      </c>
    </row>
    <row r="17" spans="2:10" s="39" customFormat="1" ht="15.75" thickBot="1" x14ac:dyDescent="0.3"/>
    <row r="18" spans="2:10" s="39" customFormat="1" ht="16.5" thickTop="1" x14ac:dyDescent="0.25">
      <c r="B18" s="52"/>
      <c r="C18" s="51"/>
      <c r="D18" s="51"/>
      <c r="E18" s="51"/>
      <c r="F18" s="51"/>
      <c r="G18" s="51"/>
      <c r="H18" s="51"/>
      <c r="I18" s="51"/>
      <c r="J18" s="50"/>
    </row>
    <row r="19" spans="2:10" s="39" customFormat="1" ht="16.5" thickBot="1" x14ac:dyDescent="0.3">
      <c r="B19" s="49"/>
      <c r="C19" s="47" t="s">
        <v>185</v>
      </c>
      <c r="D19" s="48"/>
      <c r="E19" s="48"/>
      <c r="I19" s="46">
        <v>663933716.5999999</v>
      </c>
      <c r="J19" s="43"/>
    </row>
    <row r="20" spans="2:10" s="39" customFormat="1" x14ac:dyDescent="0.25">
      <c r="B20" s="44"/>
      <c r="C20" s="168" t="s">
        <v>203</v>
      </c>
      <c r="I20" s="45">
        <v>710366772.22000003</v>
      </c>
      <c r="J20" s="43"/>
    </row>
    <row r="21" spans="2:10" s="39" customFormat="1" x14ac:dyDescent="0.25">
      <c r="B21" s="44"/>
      <c r="J21" s="43"/>
    </row>
    <row r="22" spans="2:10" s="39" customFormat="1" x14ac:dyDescent="0.25">
      <c r="B22" s="44"/>
      <c r="C22" s="168" t="s">
        <v>212</v>
      </c>
      <c r="I22" s="169">
        <v>0.93463509635326825</v>
      </c>
      <c r="J22" s="43"/>
    </row>
    <row r="23" spans="2:10" s="39" customFormat="1" ht="15.75" thickBot="1" x14ac:dyDescent="0.3">
      <c r="B23" s="42"/>
      <c r="C23" s="41"/>
      <c r="D23" s="41"/>
      <c r="E23" s="41"/>
      <c r="F23" s="41"/>
      <c r="G23" s="41"/>
      <c r="H23" s="41"/>
      <c r="I23" s="41"/>
      <c r="J23" s="40"/>
    </row>
    <row r="24" spans="2:10" s="39" customFormat="1" ht="15.75" thickTop="1" x14ac:dyDescent="0.25"/>
    <row r="25" spans="2:10" s="39" customFormat="1" x14ac:dyDescent="0.25">
      <c r="B25" s="53" t="s">
        <v>211</v>
      </c>
    </row>
    <row r="26" spans="2:10" s="39" customFormat="1" x14ac:dyDescent="0.25">
      <c r="B26" s="53"/>
    </row>
    <row r="27" spans="2:10" s="39" customFormat="1" x14ac:dyDescent="0.25">
      <c r="B27" s="53" t="s">
        <v>210</v>
      </c>
    </row>
    <row r="28" spans="2:10" s="39" customFormat="1" ht="15.75" thickBot="1" x14ac:dyDescent="0.3"/>
    <row r="29" spans="2:10" s="39" customFormat="1" ht="16.5" thickTop="1" x14ac:dyDescent="0.25">
      <c r="B29" s="52"/>
      <c r="C29" s="51"/>
      <c r="D29" s="51"/>
      <c r="E29" s="51"/>
      <c r="F29" s="51"/>
      <c r="G29" s="51"/>
      <c r="H29" s="51"/>
      <c r="I29" s="51"/>
      <c r="J29" s="50"/>
    </row>
    <row r="30" spans="2:10" s="39" customFormat="1" ht="16.5" thickBot="1" x14ac:dyDescent="0.3">
      <c r="B30" s="49"/>
      <c r="C30" s="47" t="s">
        <v>209</v>
      </c>
      <c r="D30" s="48"/>
      <c r="E30" s="48"/>
      <c r="F30" s="47"/>
      <c r="I30" s="46">
        <v>133504959.11000003</v>
      </c>
      <c r="J30" s="43"/>
    </row>
    <row r="31" spans="2:10" s="39" customFormat="1" x14ac:dyDescent="0.25">
      <c r="B31" s="44"/>
      <c r="C31" s="168" t="s">
        <v>203</v>
      </c>
      <c r="I31" s="45">
        <v>710366772.22000003</v>
      </c>
      <c r="J31" s="43"/>
    </row>
    <row r="32" spans="2:10" s="39" customFormat="1" x14ac:dyDescent="0.25">
      <c r="B32" s="44"/>
      <c r="J32" s="43"/>
    </row>
    <row r="33" spans="2:10" s="39" customFormat="1" x14ac:dyDescent="0.25">
      <c r="B33" s="44"/>
      <c r="C33" s="168" t="s">
        <v>208</v>
      </c>
      <c r="I33" s="169">
        <v>0.18793806851744699</v>
      </c>
      <c r="J33" s="43"/>
    </row>
    <row r="34" spans="2:10" s="39" customFormat="1" ht="15.75" thickBot="1" x14ac:dyDescent="0.3">
      <c r="B34" s="42"/>
      <c r="C34" s="41"/>
      <c r="D34" s="41"/>
      <c r="E34" s="41"/>
      <c r="F34" s="41"/>
      <c r="G34" s="41"/>
      <c r="H34" s="41"/>
      <c r="I34" s="41"/>
      <c r="J34" s="40"/>
    </row>
    <row r="35" spans="2:10" s="39" customFormat="1" ht="15.75" thickTop="1" x14ac:dyDescent="0.25"/>
    <row r="36" spans="2:10" s="39" customFormat="1" x14ac:dyDescent="0.25"/>
    <row r="37" spans="2:10" s="39" customFormat="1" x14ac:dyDescent="0.25">
      <c r="B37" s="53" t="s">
        <v>207</v>
      </c>
    </row>
    <row r="38" spans="2:10" s="39" customFormat="1" x14ac:dyDescent="0.25"/>
    <row r="39" spans="2:10" s="39" customFormat="1" x14ac:dyDescent="0.25">
      <c r="B39" s="39" t="s">
        <v>206</v>
      </c>
    </row>
    <row r="40" spans="2:10" s="39" customFormat="1" ht="15.75" thickBot="1" x14ac:dyDescent="0.3"/>
    <row r="41" spans="2:10" s="39" customFormat="1" ht="16.5" thickTop="1" x14ac:dyDescent="0.25">
      <c r="B41" s="52"/>
      <c r="C41" s="51"/>
      <c r="D41" s="51"/>
      <c r="E41" s="51"/>
      <c r="F41" s="51"/>
      <c r="G41" s="51"/>
      <c r="H41" s="51"/>
      <c r="I41" s="51"/>
      <c r="J41" s="50"/>
    </row>
    <row r="42" spans="2:10" s="39" customFormat="1" ht="16.5" thickBot="1" x14ac:dyDescent="0.3">
      <c r="B42" s="49"/>
      <c r="C42" s="47" t="s">
        <v>205</v>
      </c>
      <c r="D42" s="48"/>
      <c r="E42" s="48"/>
      <c r="F42" s="39" t="s">
        <v>204</v>
      </c>
      <c r="I42" s="46">
        <v>46433055.620000124</v>
      </c>
      <c r="J42" s="43"/>
    </row>
    <row r="43" spans="2:10" s="39" customFormat="1" x14ac:dyDescent="0.25">
      <c r="B43" s="44"/>
      <c r="C43" s="168" t="s">
        <v>203</v>
      </c>
      <c r="I43" s="45">
        <v>710366772.22000003</v>
      </c>
      <c r="J43" s="43"/>
    </row>
    <row r="44" spans="2:10" s="39" customFormat="1" x14ac:dyDescent="0.25">
      <c r="B44" s="44"/>
      <c r="J44" s="43"/>
    </row>
    <row r="45" spans="2:10" s="39" customFormat="1" x14ac:dyDescent="0.25">
      <c r="B45" s="44"/>
      <c r="C45" s="168" t="s">
        <v>202</v>
      </c>
      <c r="I45" s="56">
        <v>23.858189831057079</v>
      </c>
      <c r="J45" s="43"/>
    </row>
    <row r="46" spans="2:10" s="39" customFormat="1" ht="15.75" thickBot="1" x14ac:dyDescent="0.3">
      <c r="B46" s="42"/>
      <c r="C46" s="41"/>
      <c r="D46" s="41"/>
      <c r="E46" s="41"/>
      <c r="F46" s="41"/>
      <c r="G46" s="41"/>
      <c r="H46" s="41"/>
      <c r="I46" s="41"/>
      <c r="J46" s="40"/>
    </row>
    <row r="47" spans="2:10" s="39" customFormat="1" ht="15.75" thickTop="1" x14ac:dyDescent="0.25"/>
    <row r="48" spans="2:10" s="39" customFormat="1" x14ac:dyDescent="0.25"/>
    <row r="49" spans="2:10" s="39" customFormat="1" x14ac:dyDescent="0.25">
      <c r="B49" s="54" t="s">
        <v>201</v>
      </c>
    </row>
    <row r="50" spans="2:10" s="39" customFormat="1" x14ac:dyDescent="0.25"/>
    <row r="51" spans="2:10" s="39" customFormat="1" x14ac:dyDescent="0.25">
      <c r="B51" s="53" t="s">
        <v>200</v>
      </c>
    </row>
    <row r="52" spans="2:10" s="39" customFormat="1" x14ac:dyDescent="0.25"/>
    <row r="53" spans="2:10" s="39" customFormat="1" x14ac:dyDescent="0.25">
      <c r="B53" s="39" t="s">
        <v>199</v>
      </c>
    </row>
    <row r="54" spans="2:10" s="39" customFormat="1" ht="15.75" thickBot="1" x14ac:dyDescent="0.3"/>
    <row r="55" spans="2:10" s="39" customFormat="1" ht="16.5" thickTop="1" x14ac:dyDescent="0.25">
      <c r="B55" s="52"/>
      <c r="C55" s="51"/>
      <c r="D55" s="51"/>
      <c r="E55" s="51"/>
      <c r="F55" s="51"/>
      <c r="G55" s="51"/>
      <c r="H55" s="51"/>
      <c r="I55" s="51"/>
      <c r="J55" s="50"/>
    </row>
    <row r="56" spans="2:10" s="39" customFormat="1" ht="16.5" thickBot="1" x14ac:dyDescent="0.3">
      <c r="B56" s="49"/>
      <c r="C56" s="47" t="s">
        <v>190</v>
      </c>
      <c r="D56" s="48"/>
      <c r="E56" s="48"/>
      <c r="I56" s="46">
        <v>633583549.87</v>
      </c>
      <c r="J56" s="43"/>
    </row>
    <row r="57" spans="2:10" s="39" customFormat="1" x14ac:dyDescent="0.25">
      <c r="B57" s="44"/>
      <c r="C57" s="168" t="s">
        <v>198</v>
      </c>
      <c r="I57" s="45">
        <v>854741989.84000027</v>
      </c>
      <c r="J57" s="43"/>
    </row>
    <row r="58" spans="2:10" s="39" customFormat="1" x14ac:dyDescent="0.25">
      <c r="B58" s="44"/>
      <c r="J58" s="43"/>
    </row>
    <row r="59" spans="2:10" s="39" customFormat="1" x14ac:dyDescent="0.25">
      <c r="B59" s="44"/>
      <c r="C59" s="168" t="s">
        <v>197</v>
      </c>
      <c r="I59" s="169">
        <v>0.74125707804363383</v>
      </c>
      <c r="J59" s="43"/>
    </row>
    <row r="60" spans="2:10" s="39" customFormat="1" ht="15.75" thickBot="1" x14ac:dyDescent="0.3">
      <c r="B60" s="42"/>
      <c r="C60" s="41"/>
      <c r="D60" s="41"/>
      <c r="E60" s="41"/>
      <c r="F60" s="41"/>
      <c r="G60" s="41"/>
      <c r="H60" s="41"/>
      <c r="I60" s="41"/>
      <c r="J60" s="40"/>
    </row>
    <row r="61" spans="2:10" s="39" customFormat="1" ht="15.75" thickTop="1" x14ac:dyDescent="0.25"/>
    <row r="62" spans="2:10" s="39" customFormat="1" x14ac:dyDescent="0.25">
      <c r="B62" s="53" t="s">
        <v>182</v>
      </c>
    </row>
    <row r="63" spans="2:10" s="39" customFormat="1" x14ac:dyDescent="0.25"/>
    <row r="64" spans="2:10" s="39" customFormat="1" x14ac:dyDescent="0.25">
      <c r="B64" s="39" t="s">
        <v>196</v>
      </c>
    </row>
    <row r="65" spans="2:10" s="39" customFormat="1" ht="15.75" thickBot="1" x14ac:dyDescent="0.3"/>
    <row r="66" spans="2:10" s="39" customFormat="1" ht="16.5" thickTop="1" x14ac:dyDescent="0.25">
      <c r="B66" s="52"/>
      <c r="C66" s="51"/>
      <c r="D66" s="51"/>
      <c r="E66" s="51"/>
      <c r="F66" s="51"/>
      <c r="G66" s="51"/>
      <c r="H66" s="51"/>
      <c r="I66" s="51"/>
      <c r="J66" s="50"/>
    </row>
    <row r="67" spans="2:10" s="39" customFormat="1" ht="16.5" thickBot="1" x14ac:dyDescent="0.3">
      <c r="B67" s="49"/>
      <c r="C67" s="47" t="s">
        <v>195</v>
      </c>
      <c r="D67" s="48"/>
      <c r="E67" s="48"/>
      <c r="I67" s="46">
        <v>559078083.33999991</v>
      </c>
      <c r="J67" s="43"/>
    </row>
    <row r="68" spans="2:10" s="39" customFormat="1" x14ac:dyDescent="0.25">
      <c r="B68" s="44"/>
      <c r="C68" s="168" t="s">
        <v>190</v>
      </c>
      <c r="I68" s="45">
        <v>633583549.87</v>
      </c>
      <c r="J68" s="43"/>
    </row>
    <row r="69" spans="2:10" s="39" customFormat="1" x14ac:dyDescent="0.25">
      <c r="B69" s="44"/>
      <c r="J69" s="43"/>
    </row>
    <row r="70" spans="2:10" s="39" customFormat="1" x14ac:dyDescent="0.25">
      <c r="B70" s="44"/>
      <c r="C70" s="168" t="s">
        <v>178</v>
      </c>
      <c r="I70" s="169">
        <v>0.8824062484809031</v>
      </c>
      <c r="J70" s="43"/>
    </row>
    <row r="71" spans="2:10" s="39" customFormat="1" ht="15.75" thickBot="1" x14ac:dyDescent="0.3">
      <c r="B71" s="42"/>
      <c r="C71" s="41"/>
      <c r="D71" s="41"/>
      <c r="E71" s="41"/>
      <c r="F71" s="41"/>
      <c r="G71" s="41"/>
      <c r="H71" s="41"/>
      <c r="I71" s="41"/>
      <c r="J71" s="40"/>
    </row>
    <row r="72" spans="2:10" s="39" customFormat="1" ht="15.75" thickTop="1" x14ac:dyDescent="0.25"/>
    <row r="73" spans="2:10" s="39" customFormat="1" x14ac:dyDescent="0.25">
      <c r="B73" s="53" t="s">
        <v>194</v>
      </c>
    </row>
    <row r="74" spans="2:10" s="39" customFormat="1" x14ac:dyDescent="0.25"/>
    <row r="75" spans="2:10" s="39" customFormat="1" x14ac:dyDescent="0.25">
      <c r="B75" s="39" t="s">
        <v>193</v>
      </c>
    </row>
    <row r="76" spans="2:10" s="39" customFormat="1" ht="15.75" thickBot="1" x14ac:dyDescent="0.3"/>
    <row r="77" spans="2:10" s="39" customFormat="1" ht="16.5" thickTop="1" x14ac:dyDescent="0.25">
      <c r="B77" s="52" t="s">
        <v>385</v>
      </c>
      <c r="C77" s="51"/>
      <c r="D77" s="51"/>
      <c r="E77" s="51"/>
      <c r="F77" s="51"/>
      <c r="G77" s="51"/>
      <c r="H77" s="51"/>
      <c r="I77" s="51"/>
      <c r="J77" s="50"/>
    </row>
    <row r="78" spans="2:10" s="39" customFormat="1" ht="16.5" thickBot="1" x14ac:dyDescent="0.3">
      <c r="B78" s="49"/>
      <c r="C78" s="47" t="s">
        <v>192</v>
      </c>
      <c r="D78" s="48"/>
      <c r="E78" s="48"/>
      <c r="F78" s="39" t="s">
        <v>191</v>
      </c>
      <c r="I78" s="46">
        <v>74505466.530000091</v>
      </c>
      <c r="J78" s="43"/>
    </row>
    <row r="79" spans="2:10" s="39" customFormat="1" x14ac:dyDescent="0.25">
      <c r="B79" s="44"/>
      <c r="C79" s="168" t="s">
        <v>190</v>
      </c>
      <c r="I79" s="45">
        <v>633583549.87</v>
      </c>
      <c r="J79" s="43"/>
    </row>
    <row r="80" spans="2:10" s="39" customFormat="1" x14ac:dyDescent="0.25">
      <c r="B80" s="44"/>
      <c r="J80" s="43"/>
    </row>
    <row r="81" spans="2:10" s="39" customFormat="1" x14ac:dyDescent="0.25">
      <c r="B81" s="44"/>
      <c r="C81" s="168" t="s">
        <v>189</v>
      </c>
      <c r="I81" s="55">
        <v>42.921719304470351</v>
      </c>
      <c r="J81" s="43"/>
    </row>
    <row r="82" spans="2:10" s="39" customFormat="1" ht="15.75" thickBot="1" x14ac:dyDescent="0.3">
      <c r="B82" s="42"/>
      <c r="C82" s="41"/>
      <c r="D82" s="41"/>
      <c r="E82" s="41"/>
      <c r="F82" s="41"/>
      <c r="G82" s="41"/>
      <c r="H82" s="41"/>
      <c r="I82" s="41"/>
      <c r="J82" s="40"/>
    </row>
    <row r="83" spans="2:10" s="39" customFormat="1" ht="15.75" thickTop="1" x14ac:dyDescent="0.25"/>
    <row r="84" spans="2:10" s="39" customFormat="1" x14ac:dyDescent="0.25">
      <c r="B84" s="54" t="s">
        <v>188</v>
      </c>
    </row>
    <row r="85" spans="2:10" s="39" customFormat="1" x14ac:dyDescent="0.25"/>
    <row r="86" spans="2:10" s="39" customFormat="1" x14ac:dyDescent="0.25">
      <c r="B86" s="53" t="s">
        <v>187</v>
      </c>
    </row>
    <row r="87" spans="2:10" s="39" customFormat="1" x14ac:dyDescent="0.25"/>
    <row r="88" spans="2:10" s="39" customFormat="1" x14ac:dyDescent="0.25">
      <c r="B88" s="39" t="s">
        <v>186</v>
      </c>
    </row>
    <row r="89" spans="2:10" s="39" customFormat="1" ht="15.75" thickBot="1" x14ac:dyDescent="0.3"/>
    <row r="90" spans="2:10" s="39" customFormat="1" ht="16.5" thickTop="1" x14ac:dyDescent="0.25">
      <c r="B90" s="52"/>
      <c r="C90" s="51"/>
      <c r="D90" s="51"/>
      <c r="E90" s="51"/>
      <c r="F90" s="51"/>
      <c r="G90" s="51"/>
      <c r="H90" s="51"/>
      <c r="I90" s="51"/>
      <c r="J90" s="50"/>
    </row>
    <row r="91" spans="2:10" s="39" customFormat="1" ht="16.5" thickBot="1" x14ac:dyDescent="0.3">
      <c r="B91" s="49"/>
      <c r="C91" s="47" t="s">
        <v>185</v>
      </c>
      <c r="D91" s="48"/>
      <c r="E91" s="48"/>
      <c r="F91" s="47"/>
      <c r="I91" s="46">
        <v>42689070.32</v>
      </c>
      <c r="J91" s="43"/>
    </row>
    <row r="92" spans="2:10" s="39" customFormat="1" x14ac:dyDescent="0.25">
      <c r="B92" s="44"/>
      <c r="C92" s="168" t="s">
        <v>184</v>
      </c>
      <c r="I92" s="45">
        <v>43355702.640000001</v>
      </c>
      <c r="J92" s="43"/>
    </row>
    <row r="93" spans="2:10" s="39" customFormat="1" x14ac:dyDescent="0.25">
      <c r="B93" s="44"/>
      <c r="J93" s="43"/>
    </row>
    <row r="94" spans="2:10" s="39" customFormat="1" x14ac:dyDescent="0.25">
      <c r="B94" s="44"/>
      <c r="C94" s="168" t="s">
        <v>183</v>
      </c>
      <c r="I94" s="169">
        <v>0.98462411448995946</v>
      </c>
      <c r="J94" s="43"/>
    </row>
    <row r="95" spans="2:10" s="39" customFormat="1" ht="15.75" thickBot="1" x14ac:dyDescent="0.3">
      <c r="B95" s="42"/>
      <c r="C95" s="41"/>
      <c r="D95" s="41"/>
      <c r="E95" s="41"/>
      <c r="F95" s="41"/>
      <c r="G95" s="41"/>
      <c r="H95" s="41"/>
      <c r="I95" s="41"/>
      <c r="J95" s="40"/>
    </row>
    <row r="96" spans="2:10" s="39" customFormat="1" ht="15.75" thickTop="1" x14ac:dyDescent="0.25"/>
    <row r="97" spans="2:10" s="39" customFormat="1" x14ac:dyDescent="0.25">
      <c r="B97" s="53" t="s">
        <v>182</v>
      </c>
    </row>
    <row r="98" spans="2:10" s="39" customFormat="1" x14ac:dyDescent="0.25"/>
    <row r="99" spans="2:10" s="39" customFormat="1" x14ac:dyDescent="0.25">
      <c r="B99" s="39" t="s">
        <v>181</v>
      </c>
    </row>
    <row r="100" spans="2:10" s="39" customFormat="1" ht="15.75" thickBot="1" x14ac:dyDescent="0.3"/>
    <row r="101" spans="2:10" s="39" customFormat="1" ht="16.5" thickTop="1" x14ac:dyDescent="0.25">
      <c r="B101" s="52"/>
      <c r="C101" s="51"/>
      <c r="D101" s="51"/>
      <c r="E101" s="51"/>
      <c r="F101" s="51"/>
      <c r="G101" s="51"/>
      <c r="H101" s="51"/>
      <c r="I101" s="51"/>
      <c r="J101" s="50"/>
    </row>
    <row r="102" spans="2:10" s="39" customFormat="1" ht="16.5" thickBot="1" x14ac:dyDescent="0.3">
      <c r="B102" s="49"/>
      <c r="C102" s="47" t="s">
        <v>180</v>
      </c>
      <c r="D102" s="48"/>
      <c r="E102" s="48"/>
      <c r="F102" s="47"/>
      <c r="I102" s="46">
        <v>85220935.030000001</v>
      </c>
      <c r="J102" s="43"/>
    </row>
    <row r="103" spans="2:10" s="39" customFormat="1" x14ac:dyDescent="0.25">
      <c r="B103" s="44"/>
      <c r="C103" s="168" t="s">
        <v>179</v>
      </c>
      <c r="I103" s="45">
        <v>101371748.05000001</v>
      </c>
      <c r="J103" s="43"/>
    </row>
    <row r="104" spans="2:10" s="39" customFormat="1" x14ac:dyDescent="0.25">
      <c r="B104" s="44"/>
      <c r="J104" s="43"/>
    </row>
    <row r="105" spans="2:10" s="39" customFormat="1" x14ac:dyDescent="0.25">
      <c r="B105" s="44"/>
      <c r="C105" s="168" t="s">
        <v>178</v>
      </c>
      <c r="I105" s="169">
        <v>0.84067737480433036</v>
      </c>
      <c r="J105" s="43"/>
    </row>
    <row r="106" spans="2:10" s="39" customFormat="1" ht="15.75" thickBot="1" x14ac:dyDescent="0.3">
      <c r="B106" s="42"/>
      <c r="C106" s="41"/>
      <c r="D106" s="41"/>
      <c r="E106" s="41"/>
      <c r="F106" s="41"/>
      <c r="G106" s="41"/>
      <c r="H106" s="41"/>
      <c r="I106" s="41"/>
      <c r="J106" s="40"/>
    </row>
    <row r="107" spans="2:10" ht="15.75" thickTop="1" x14ac:dyDescent="0.25"/>
  </sheetData>
  <pageMargins left="0.70866141732283472" right="0.70866141732283472" top="0.94488188976377963" bottom="0.74803149606299213" header="0.31496062992125984" footer="0.31496062992125984"/>
  <pageSetup paperSize="9" scale="69" orientation="landscape" r:id="rId1"/>
  <headerFooter>
    <oddHeader>&amp;C&amp;"Trebuchet MS,Negrita"Ejercicio 2019
Indicadores presupuestarios</oddHeader>
  </headerFooter>
  <rowBreaks count="2" manualBreakCount="2">
    <brk id="35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02FA2-9BB7-40C7-AD0B-07352B883831}">
  <sheetPr>
    <tabColor theme="4" tint="0.59999389629810485"/>
  </sheetPr>
  <dimension ref="C2:AP33"/>
  <sheetViews>
    <sheetView topLeftCell="A8" zoomScale="90" zoomScaleNormal="90" workbookViewId="0">
      <selection activeCell="G23" sqref="G23"/>
    </sheetView>
  </sheetViews>
  <sheetFormatPr baseColWidth="10" defaultColWidth="11.42578125" defaultRowHeight="12.75" x14ac:dyDescent="0.2"/>
  <cols>
    <col min="1" max="2" width="11.42578125" style="57"/>
    <col min="3" max="3" width="15.5703125" style="57" customWidth="1"/>
    <col min="4" max="4" width="12.42578125" style="57" customWidth="1"/>
    <col min="5" max="5" width="17.28515625" style="57" bestFit="1" customWidth="1"/>
    <col min="6" max="6" width="13.140625" style="57" bestFit="1" customWidth="1"/>
    <col min="7" max="8" width="12.7109375" style="57" bestFit="1" customWidth="1"/>
    <col min="9" max="9" width="11" style="57" customWidth="1"/>
    <col min="10" max="10" width="6.42578125" style="57" bestFit="1" customWidth="1"/>
    <col min="11" max="11" width="12.140625" style="57" customWidth="1"/>
    <col min="12" max="12" width="14.42578125" style="57" customWidth="1"/>
    <col min="13" max="13" width="11.42578125" style="57"/>
    <col min="14" max="14" width="15.42578125" style="57" bestFit="1" customWidth="1"/>
    <col min="15" max="15" width="12.42578125" style="57" bestFit="1" customWidth="1"/>
    <col min="16" max="16" width="15.7109375" style="57" bestFit="1" customWidth="1"/>
    <col min="17" max="17" width="14" style="57" bestFit="1" customWidth="1"/>
    <col min="18" max="18" width="11.42578125" style="57"/>
    <col min="19" max="19" width="19.140625" style="57" customWidth="1"/>
    <col min="20" max="21" width="15.140625" style="57" bestFit="1" customWidth="1"/>
    <col min="22" max="23" width="13.85546875" style="57" bestFit="1" customWidth="1"/>
    <col min="24" max="25" width="15.140625" style="57" bestFit="1" customWidth="1"/>
    <col min="26" max="26" width="19" style="57" bestFit="1" customWidth="1"/>
    <col min="27" max="27" width="16.28515625" style="57" bestFit="1" customWidth="1"/>
    <col min="28" max="29" width="17.5703125" style="57" customWidth="1"/>
    <col min="30" max="30" width="17.42578125" style="57" customWidth="1"/>
    <col min="31" max="31" width="11.42578125" style="57"/>
    <col min="32" max="32" width="20.7109375" style="57" customWidth="1"/>
    <col min="33" max="33" width="16.7109375" style="57" bestFit="1" customWidth="1"/>
    <col min="34" max="34" width="14.7109375" style="57" customWidth="1"/>
    <col min="35" max="35" width="20.28515625" style="57" customWidth="1"/>
    <col min="36" max="36" width="16.140625" style="57" customWidth="1"/>
    <col min="37" max="38" width="11.42578125" style="57"/>
    <col min="39" max="39" width="16.5703125" style="57" customWidth="1"/>
    <col min="40" max="40" width="18.42578125" style="57" customWidth="1"/>
    <col min="41" max="41" width="13" style="57" customWidth="1"/>
    <col min="42" max="16384" width="11.42578125" style="57"/>
  </cols>
  <sheetData>
    <row r="2" spans="3:42" ht="19.5" customHeight="1" x14ac:dyDescent="0.2">
      <c r="S2" s="216" t="s">
        <v>287</v>
      </c>
      <c r="T2" s="216"/>
      <c r="U2" s="216"/>
      <c r="V2" s="216"/>
      <c r="W2" s="216"/>
      <c r="X2" s="216"/>
      <c r="Y2" s="216"/>
    </row>
    <row r="3" spans="3:42" x14ac:dyDescent="0.2">
      <c r="N3" s="83"/>
      <c r="S3" s="217" t="s">
        <v>286</v>
      </c>
      <c r="T3" s="217" t="s">
        <v>285</v>
      </c>
      <c r="U3" s="217"/>
      <c r="V3" s="217" t="s">
        <v>284</v>
      </c>
      <c r="W3" s="217"/>
      <c r="X3" s="217" t="s">
        <v>228</v>
      </c>
      <c r="Y3" s="217"/>
    </row>
    <row r="4" spans="3:42" x14ac:dyDescent="0.2">
      <c r="S4" s="217"/>
      <c r="T4" s="217" t="s">
        <v>283</v>
      </c>
      <c r="U4" s="217"/>
      <c r="V4" s="217" t="s">
        <v>283</v>
      </c>
      <c r="W4" s="217"/>
      <c r="X4" s="217"/>
      <c r="Y4" s="217"/>
    </row>
    <row r="5" spans="3:42" x14ac:dyDescent="0.2">
      <c r="P5" s="82"/>
      <c r="S5" s="217"/>
      <c r="T5" s="145">
        <v>2024</v>
      </c>
      <c r="U5" s="145">
        <v>2023</v>
      </c>
      <c r="V5" s="145">
        <v>2024</v>
      </c>
      <c r="W5" s="145">
        <v>2023</v>
      </c>
      <c r="X5" s="145">
        <v>2024</v>
      </c>
      <c r="Y5" s="145">
        <v>2023</v>
      </c>
    </row>
    <row r="6" spans="3:42" ht="30" x14ac:dyDescent="0.2">
      <c r="S6" s="78" t="s">
        <v>282</v>
      </c>
      <c r="T6" s="81">
        <v>108006878.90000001</v>
      </c>
      <c r="U6" s="79">
        <v>115274644.95</v>
      </c>
      <c r="V6" s="81">
        <v>5441884.8400000008</v>
      </c>
      <c r="W6" s="80">
        <v>6170668.0300000003</v>
      </c>
      <c r="X6" s="79">
        <v>113448763.74000001</v>
      </c>
      <c r="Y6" s="79">
        <v>121445312.98</v>
      </c>
    </row>
    <row r="7" spans="3:42" ht="28.5" customHeight="1" x14ac:dyDescent="0.2">
      <c r="S7" s="78" t="s">
        <v>281</v>
      </c>
      <c r="T7" s="77">
        <v>0</v>
      </c>
      <c r="U7" s="77">
        <v>0</v>
      </c>
      <c r="V7" s="77">
        <v>0</v>
      </c>
      <c r="W7" s="77">
        <v>0</v>
      </c>
      <c r="X7" s="77">
        <v>0</v>
      </c>
      <c r="Y7" s="77">
        <v>0</v>
      </c>
    </row>
    <row r="8" spans="3:42" ht="23.25" customHeight="1" x14ac:dyDescent="0.2">
      <c r="S8" s="76" t="s">
        <v>228</v>
      </c>
      <c r="T8" s="75">
        <v>108006878.90000001</v>
      </c>
      <c r="U8" s="75">
        <v>115274644.95</v>
      </c>
      <c r="V8" s="75">
        <v>5441884.8400000008</v>
      </c>
      <c r="W8" s="75">
        <v>6170668.0300000003</v>
      </c>
      <c r="X8" s="75">
        <v>113448763.74000001</v>
      </c>
      <c r="Y8" s="75">
        <v>121445312.98</v>
      </c>
    </row>
    <row r="9" spans="3:42" ht="15.75" thickBot="1" x14ac:dyDescent="0.25">
      <c r="C9" s="218" t="s">
        <v>280</v>
      </c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18"/>
      <c r="O9" s="218"/>
      <c r="P9" s="218"/>
      <c r="Q9" s="218"/>
      <c r="R9" s="218"/>
    </row>
    <row r="10" spans="3:42" ht="24" customHeight="1" thickTop="1" thickBot="1" x14ac:dyDescent="0.25">
      <c r="C10" s="220" t="s">
        <v>279</v>
      </c>
      <c r="D10" s="220"/>
      <c r="E10" s="220" t="s">
        <v>278</v>
      </c>
      <c r="F10" s="220" t="s">
        <v>277</v>
      </c>
      <c r="G10" s="220"/>
      <c r="H10" s="220" t="s">
        <v>237</v>
      </c>
      <c r="I10" s="220"/>
      <c r="J10" s="219" t="s">
        <v>276</v>
      </c>
      <c r="K10" s="219"/>
      <c r="L10" s="219" t="s">
        <v>275</v>
      </c>
      <c r="M10" s="219" t="s">
        <v>274</v>
      </c>
      <c r="N10" s="219"/>
      <c r="O10" s="220" t="s">
        <v>236</v>
      </c>
      <c r="P10" s="220"/>
      <c r="Q10" s="220" t="s">
        <v>273</v>
      </c>
      <c r="R10" s="220"/>
      <c r="AM10" s="226" t="s">
        <v>227</v>
      </c>
      <c r="AN10" s="226" t="s">
        <v>226</v>
      </c>
      <c r="AO10" s="224" t="s">
        <v>225</v>
      </c>
      <c r="AP10" s="225"/>
    </row>
    <row r="11" spans="3:42" ht="26.25" thickBot="1" x14ac:dyDescent="0.25">
      <c r="C11" s="220"/>
      <c r="D11" s="220"/>
      <c r="E11" s="220"/>
      <c r="F11" s="147" t="s">
        <v>272</v>
      </c>
      <c r="G11" s="147" t="s">
        <v>271</v>
      </c>
      <c r="H11" s="147" t="s">
        <v>270</v>
      </c>
      <c r="I11" s="147" t="s">
        <v>269</v>
      </c>
      <c r="J11" s="147" t="s">
        <v>268</v>
      </c>
      <c r="K11" s="147" t="s">
        <v>267</v>
      </c>
      <c r="L11" s="219"/>
      <c r="M11" s="147" t="s">
        <v>266</v>
      </c>
      <c r="N11" s="147" t="s">
        <v>265</v>
      </c>
      <c r="O11" s="147" t="s">
        <v>264</v>
      </c>
      <c r="P11" s="147" t="s">
        <v>263</v>
      </c>
      <c r="Q11" s="147" t="s">
        <v>262</v>
      </c>
      <c r="R11" s="147" t="s">
        <v>261</v>
      </c>
      <c r="AM11" s="227"/>
      <c r="AN11" s="227"/>
      <c r="AO11" s="68" t="s">
        <v>224</v>
      </c>
      <c r="AP11" s="67" t="s">
        <v>223</v>
      </c>
    </row>
    <row r="12" spans="3:42" ht="27" thickTop="1" thickBot="1" x14ac:dyDescent="0.25">
      <c r="C12" s="220"/>
      <c r="D12" s="220"/>
      <c r="E12" s="220"/>
      <c r="F12" s="74" t="s">
        <v>260</v>
      </c>
      <c r="G12" s="74" t="s">
        <v>259</v>
      </c>
      <c r="H12" s="74" t="s">
        <v>258</v>
      </c>
      <c r="I12" s="74" t="s">
        <v>257</v>
      </c>
      <c r="J12" s="74" t="s">
        <v>256</v>
      </c>
      <c r="K12" s="74" t="s">
        <v>255</v>
      </c>
      <c r="L12" s="74" t="s">
        <v>254</v>
      </c>
      <c r="M12" s="74" t="s">
        <v>253</v>
      </c>
      <c r="N12" s="74" t="s">
        <v>252</v>
      </c>
      <c r="O12" s="74" t="s">
        <v>251</v>
      </c>
      <c r="P12" s="74" t="s">
        <v>250</v>
      </c>
      <c r="Q12" s="74" t="s">
        <v>249</v>
      </c>
      <c r="R12" s="74" t="s">
        <v>248</v>
      </c>
      <c r="AM12" s="66" t="s">
        <v>222</v>
      </c>
      <c r="AN12" s="63">
        <v>246.9</v>
      </c>
      <c r="AO12" s="65">
        <v>0</v>
      </c>
      <c r="AP12" s="64">
        <v>0</v>
      </c>
    </row>
    <row r="13" spans="3:42" ht="24" customHeight="1" thickBot="1" x14ac:dyDescent="0.25">
      <c r="C13" s="221" t="s">
        <v>247</v>
      </c>
      <c r="D13" s="221"/>
      <c r="E13" s="71"/>
      <c r="F13" s="170">
        <f>SUM(F14:F30)</f>
        <v>10762875.379999999</v>
      </c>
      <c r="G13" s="170">
        <f>SUM(G14:G30)</f>
        <v>30264.670000000013</v>
      </c>
      <c r="H13" s="170">
        <f>SUM(H14:H30)</f>
        <v>4427605</v>
      </c>
      <c r="I13" s="171"/>
      <c r="J13" s="171"/>
      <c r="K13" s="171"/>
      <c r="L13" s="170">
        <f>SUM(L14:L30)</f>
        <v>23579.22</v>
      </c>
      <c r="M13" s="171"/>
      <c r="N13" s="171"/>
      <c r="O13" s="170">
        <f>SUM(O14:O30)</f>
        <v>3344377.0199999996</v>
      </c>
      <c r="P13" s="171"/>
      <c r="Q13" s="172">
        <f>F13+H13-I13+K13+M13-O13</f>
        <v>11846103.359999999</v>
      </c>
      <c r="R13" s="172">
        <f>G13+J13-L13+N13</f>
        <v>6685.4500000000116</v>
      </c>
      <c r="AM13" s="63" t="s">
        <v>221</v>
      </c>
      <c r="AN13" s="63">
        <v>215.4</v>
      </c>
      <c r="AO13" s="63">
        <v>-31.5</v>
      </c>
      <c r="AP13" s="62">
        <v>-0.217</v>
      </c>
    </row>
    <row r="14" spans="3:42" ht="13.5" customHeight="1" thickBot="1" x14ac:dyDescent="0.25">
      <c r="C14" s="222" t="s">
        <v>246</v>
      </c>
      <c r="D14" s="222"/>
      <c r="E14" s="73"/>
      <c r="F14" s="173">
        <v>632976.60999999975</v>
      </c>
      <c r="G14" s="173"/>
      <c r="H14" s="173"/>
      <c r="I14" s="174"/>
      <c r="J14" s="174"/>
      <c r="K14" s="174"/>
      <c r="L14" s="173"/>
      <c r="M14" s="174"/>
      <c r="N14" s="174"/>
      <c r="O14" s="173">
        <v>632976.61</v>
      </c>
      <c r="P14" s="175"/>
      <c r="Q14" s="171">
        <v>0</v>
      </c>
      <c r="R14" s="173"/>
      <c r="AM14" s="61" t="s">
        <v>220</v>
      </c>
      <c r="AN14" s="61">
        <v>204.1</v>
      </c>
      <c r="AO14" s="61">
        <v>-11.300000000000011</v>
      </c>
      <c r="AP14" s="60">
        <v>-5.1999999999999998E-2</v>
      </c>
    </row>
    <row r="15" spans="3:42" ht="14.25" customHeight="1" thickTop="1" thickBot="1" x14ac:dyDescent="0.25">
      <c r="C15" s="222" t="s">
        <v>235</v>
      </c>
      <c r="D15" s="222"/>
      <c r="E15" s="72">
        <v>1.414E-2</v>
      </c>
      <c r="F15" s="173">
        <v>277619.32000000007</v>
      </c>
      <c r="G15" s="173">
        <v>15987.040000000008</v>
      </c>
      <c r="H15" s="173"/>
      <c r="I15" s="174"/>
      <c r="J15" s="174"/>
      <c r="K15" s="174"/>
      <c r="L15" s="173">
        <v>14016.55</v>
      </c>
      <c r="M15" s="174"/>
      <c r="N15" s="174"/>
      <c r="O15" s="173">
        <v>184932.44</v>
      </c>
      <c r="P15" s="175"/>
      <c r="Q15" s="173">
        <f t="shared" ref="Q15:Q21" si="0">F15+H15-I15+K15+M15-O15</f>
        <v>92686.880000000063</v>
      </c>
      <c r="R15" s="173">
        <f>G15+J15-L15+N15</f>
        <v>1970.4900000000089</v>
      </c>
      <c r="AM15" s="59"/>
      <c r="AN15" s="59"/>
      <c r="AO15" s="58">
        <v>-42.800000000000011</v>
      </c>
      <c r="AP15" s="58">
        <v>-0.17299999999999999</v>
      </c>
    </row>
    <row r="16" spans="3:42" ht="24" customHeight="1" thickTop="1" x14ac:dyDescent="0.2">
      <c r="C16" s="222" t="s">
        <v>386</v>
      </c>
      <c r="D16" s="222"/>
      <c r="E16" s="72"/>
      <c r="F16" s="173">
        <v>0</v>
      </c>
      <c r="G16" s="173"/>
      <c r="H16" s="173">
        <v>904720.54</v>
      </c>
      <c r="I16" s="174"/>
      <c r="J16" s="174"/>
      <c r="K16" s="174"/>
      <c r="L16" s="173"/>
      <c r="M16" s="174"/>
      <c r="N16" s="174"/>
      <c r="O16" s="173"/>
      <c r="P16" s="175"/>
      <c r="Q16" s="173">
        <f t="shared" si="0"/>
        <v>904720.54</v>
      </c>
      <c r="R16" s="173"/>
    </row>
    <row r="17" spans="3:18" ht="12.75" customHeight="1" x14ac:dyDescent="0.2">
      <c r="C17" s="222" t="s">
        <v>234</v>
      </c>
      <c r="D17" s="222"/>
      <c r="E17" s="72">
        <v>8.8999999999999995E-4</v>
      </c>
      <c r="F17" s="173">
        <v>621845.79999999981</v>
      </c>
      <c r="G17" s="173">
        <v>252.60999999999999</v>
      </c>
      <c r="H17" s="173"/>
      <c r="I17" s="174"/>
      <c r="J17" s="174"/>
      <c r="K17" s="174"/>
      <c r="L17" s="173">
        <v>126.27</v>
      </c>
      <c r="M17" s="174"/>
      <c r="N17" s="174"/>
      <c r="O17" s="173">
        <v>47249.83</v>
      </c>
      <c r="P17" s="175"/>
      <c r="Q17" s="173">
        <f t="shared" si="0"/>
        <v>574595.96999999986</v>
      </c>
      <c r="R17" s="173">
        <f>G17+J17-L17+N17</f>
        <v>126.33999999999999</v>
      </c>
    </row>
    <row r="18" spans="3:18" ht="12.75" customHeight="1" x14ac:dyDescent="0.2">
      <c r="C18" s="222" t="s">
        <v>233</v>
      </c>
      <c r="D18" s="222"/>
      <c r="E18" s="72"/>
      <c r="F18" s="173">
        <v>29219.720000000005</v>
      </c>
      <c r="G18" s="173"/>
      <c r="H18" s="173"/>
      <c r="I18" s="174"/>
      <c r="J18" s="174"/>
      <c r="K18" s="174"/>
      <c r="L18" s="173"/>
      <c r="M18" s="174"/>
      <c r="N18" s="174"/>
      <c r="O18" s="173">
        <v>4869.95</v>
      </c>
      <c r="P18" s="175"/>
      <c r="Q18" s="173">
        <f t="shared" si="0"/>
        <v>24349.770000000004</v>
      </c>
      <c r="R18" s="173"/>
    </row>
    <row r="19" spans="3:18" ht="12.75" customHeight="1" x14ac:dyDescent="0.2">
      <c r="C19" s="222" t="s">
        <v>232</v>
      </c>
      <c r="D19" s="222"/>
      <c r="E19" s="72"/>
      <c r="F19" s="173">
        <v>275822.54999999993</v>
      </c>
      <c r="G19" s="173"/>
      <c r="H19" s="173"/>
      <c r="I19" s="174"/>
      <c r="J19" s="174"/>
      <c r="K19" s="174"/>
      <c r="L19" s="173"/>
      <c r="M19" s="174"/>
      <c r="N19" s="174"/>
      <c r="O19" s="173">
        <v>42568.77</v>
      </c>
      <c r="P19" s="175"/>
      <c r="Q19" s="173">
        <f t="shared" si="0"/>
        <v>233253.77999999994</v>
      </c>
      <c r="R19" s="173"/>
    </row>
    <row r="20" spans="3:18" ht="12.75" customHeight="1" x14ac:dyDescent="0.2">
      <c r="C20" s="222" t="s">
        <v>387</v>
      </c>
      <c r="D20" s="222"/>
      <c r="E20" s="72"/>
      <c r="F20" s="173">
        <v>0</v>
      </c>
      <c r="G20" s="173"/>
      <c r="H20" s="173">
        <v>2088884.46</v>
      </c>
      <c r="I20" s="174"/>
      <c r="J20" s="174"/>
      <c r="K20" s="174"/>
      <c r="L20" s="173"/>
      <c r="M20" s="174"/>
      <c r="N20" s="174"/>
      <c r="O20" s="173"/>
      <c r="P20" s="175"/>
      <c r="Q20" s="173">
        <f t="shared" si="0"/>
        <v>2088884.46</v>
      </c>
      <c r="R20" s="173"/>
    </row>
    <row r="21" spans="3:18" ht="12.75" customHeight="1" x14ac:dyDescent="0.2">
      <c r="C21" s="222" t="s">
        <v>231</v>
      </c>
      <c r="D21" s="222"/>
      <c r="E21" s="72">
        <v>1.17E-2</v>
      </c>
      <c r="F21" s="173">
        <v>777702.42</v>
      </c>
      <c r="G21" s="173">
        <v>13675.140000000003</v>
      </c>
      <c r="H21" s="173"/>
      <c r="I21" s="174"/>
      <c r="J21" s="174"/>
      <c r="K21" s="174"/>
      <c r="L21" s="173">
        <v>9099.1200000000008</v>
      </c>
      <c r="M21" s="174"/>
      <c r="N21" s="174"/>
      <c r="O21" s="173">
        <v>386589.66</v>
      </c>
      <c r="P21" s="175"/>
      <c r="Q21" s="173">
        <f t="shared" si="0"/>
        <v>391112.76000000007</v>
      </c>
      <c r="R21" s="173">
        <f>G21+J21-L21+N21</f>
        <v>4576.0200000000023</v>
      </c>
    </row>
    <row r="22" spans="3:18" ht="24" customHeight="1" x14ac:dyDescent="0.2">
      <c r="C22" s="222" t="s">
        <v>245</v>
      </c>
      <c r="D22" s="222"/>
      <c r="E22" s="72"/>
      <c r="F22" s="173">
        <v>1669195</v>
      </c>
      <c r="G22" s="173"/>
      <c r="H22" s="173"/>
      <c r="I22" s="174"/>
      <c r="J22" s="174"/>
      <c r="K22" s="174"/>
      <c r="L22" s="173"/>
      <c r="M22" s="174"/>
      <c r="N22" s="174"/>
      <c r="O22" s="173">
        <v>1669195</v>
      </c>
      <c r="P22" s="175"/>
      <c r="Q22" s="173"/>
      <c r="R22" s="173"/>
    </row>
    <row r="23" spans="3:18" ht="24.75" customHeight="1" x14ac:dyDescent="0.2">
      <c r="C23" s="222" t="s">
        <v>244</v>
      </c>
      <c r="D23" s="222"/>
      <c r="E23" s="72"/>
      <c r="F23" s="173">
        <v>1137279</v>
      </c>
      <c r="G23" s="173"/>
      <c r="H23" s="173"/>
      <c r="I23" s="174"/>
      <c r="J23" s="174"/>
      <c r="K23" s="174"/>
      <c r="L23" s="173"/>
      <c r="M23" s="174"/>
      <c r="N23" s="174"/>
      <c r="O23" s="173">
        <v>13455.68</v>
      </c>
      <c r="P23" s="175"/>
      <c r="Q23" s="173">
        <f t="shared" ref="Q23:Q30" si="1">F23+H23-I23+K23+M23-O23</f>
        <v>1123823.32</v>
      </c>
      <c r="R23" s="173"/>
    </row>
    <row r="24" spans="3:18" ht="12.75" customHeight="1" x14ac:dyDescent="0.2">
      <c r="C24" s="222" t="s">
        <v>243</v>
      </c>
      <c r="D24" s="222"/>
      <c r="E24" s="72"/>
      <c r="F24" s="173">
        <v>287287.40000000002</v>
      </c>
      <c r="G24" s="173"/>
      <c r="H24" s="173"/>
      <c r="I24" s="174"/>
      <c r="J24" s="174"/>
      <c r="K24" s="174"/>
      <c r="L24" s="173"/>
      <c r="M24" s="174"/>
      <c r="N24" s="174"/>
      <c r="O24" s="173">
        <v>287287.40000000002</v>
      </c>
      <c r="P24" s="175"/>
      <c r="Q24" s="173">
        <v>0</v>
      </c>
      <c r="R24" s="173"/>
    </row>
    <row r="25" spans="3:18" ht="12.75" customHeight="1" x14ac:dyDescent="0.2">
      <c r="C25" s="222" t="s">
        <v>242</v>
      </c>
      <c r="D25" s="222"/>
      <c r="E25" s="72"/>
      <c r="F25" s="173">
        <v>361228.43</v>
      </c>
      <c r="G25" s="173"/>
      <c r="H25" s="173"/>
      <c r="I25" s="174"/>
      <c r="J25" s="174"/>
      <c r="K25" s="174"/>
      <c r="L25" s="173"/>
      <c r="M25" s="174"/>
      <c r="N25" s="174"/>
      <c r="O25" s="173">
        <v>11558.3</v>
      </c>
      <c r="P25" s="175"/>
      <c r="Q25" s="173">
        <f t="shared" si="1"/>
        <v>349670.13</v>
      </c>
      <c r="R25" s="173"/>
    </row>
    <row r="26" spans="3:18" ht="12.75" customHeight="1" x14ac:dyDescent="0.2">
      <c r="C26" s="222" t="s">
        <v>241</v>
      </c>
      <c r="D26" s="222"/>
      <c r="E26" s="72"/>
      <c r="F26" s="173">
        <v>132740.43</v>
      </c>
      <c r="G26" s="173"/>
      <c r="H26" s="173"/>
      <c r="I26" s="174"/>
      <c r="J26" s="174"/>
      <c r="K26" s="174"/>
      <c r="L26" s="173"/>
      <c r="M26" s="174"/>
      <c r="N26" s="174"/>
      <c r="O26" s="173">
        <v>1255.6099999999999</v>
      </c>
      <c r="P26" s="175"/>
      <c r="Q26" s="173">
        <f t="shared" si="1"/>
        <v>131484.82</v>
      </c>
      <c r="R26" s="173"/>
    </row>
    <row r="27" spans="3:18" ht="37.5" customHeight="1" x14ac:dyDescent="0.2">
      <c r="C27" s="222" t="s">
        <v>240</v>
      </c>
      <c r="D27" s="222"/>
      <c r="E27" s="72">
        <v>5.1999999999999998E-3</v>
      </c>
      <c r="F27" s="173">
        <v>679781.89999999991</v>
      </c>
      <c r="G27" s="173">
        <v>349.88000000000022</v>
      </c>
      <c r="H27" s="173"/>
      <c r="I27" s="174"/>
      <c r="J27" s="174"/>
      <c r="K27" s="174"/>
      <c r="L27" s="173">
        <v>337.28</v>
      </c>
      <c r="M27" s="174"/>
      <c r="N27" s="174"/>
      <c r="O27" s="173">
        <v>62437.77</v>
      </c>
      <c r="P27" s="175"/>
      <c r="Q27" s="173">
        <f t="shared" si="1"/>
        <v>617344.12999999989</v>
      </c>
      <c r="R27" s="173">
        <f>G27+J27-L27+N27</f>
        <v>12.60000000000025</v>
      </c>
    </row>
    <row r="28" spans="3:18" ht="24.75" customHeight="1" x14ac:dyDescent="0.2">
      <c r="C28" s="222" t="s">
        <v>239</v>
      </c>
      <c r="D28" s="222"/>
      <c r="E28" s="72"/>
      <c r="F28" s="173">
        <v>3083176.8</v>
      </c>
      <c r="G28" s="173"/>
      <c r="H28" s="173"/>
      <c r="I28" s="174"/>
      <c r="J28" s="174"/>
      <c r="K28" s="174"/>
      <c r="L28" s="173"/>
      <c r="M28" s="174"/>
      <c r="N28" s="174"/>
      <c r="O28" s="173"/>
      <c r="P28" s="175"/>
      <c r="Q28" s="173">
        <f t="shared" si="1"/>
        <v>3083176.8</v>
      </c>
      <c r="R28" s="173"/>
    </row>
    <row r="29" spans="3:18" ht="24.75" customHeight="1" x14ac:dyDescent="0.2">
      <c r="C29" s="222" t="s">
        <v>238</v>
      </c>
      <c r="D29" s="222"/>
      <c r="E29" s="72"/>
      <c r="F29" s="173">
        <v>797000</v>
      </c>
      <c r="G29" s="173"/>
      <c r="H29" s="173"/>
      <c r="I29" s="174"/>
      <c r="J29" s="174"/>
      <c r="K29" s="174"/>
      <c r="L29" s="173"/>
      <c r="M29" s="174"/>
      <c r="N29" s="174"/>
      <c r="O29" s="173"/>
      <c r="P29" s="175"/>
      <c r="Q29" s="173">
        <f t="shared" si="1"/>
        <v>797000</v>
      </c>
      <c r="R29" s="173"/>
    </row>
    <row r="30" spans="3:18" ht="24.75" customHeight="1" x14ac:dyDescent="0.2">
      <c r="C30" s="222" t="s">
        <v>388</v>
      </c>
      <c r="D30" s="222"/>
      <c r="E30" s="72"/>
      <c r="F30" s="173">
        <v>0</v>
      </c>
      <c r="G30" s="173"/>
      <c r="H30" s="173">
        <v>1434000</v>
      </c>
      <c r="I30" s="174"/>
      <c r="J30" s="174"/>
      <c r="K30" s="174"/>
      <c r="L30" s="173"/>
      <c r="M30" s="174"/>
      <c r="N30" s="174"/>
      <c r="O30" s="173"/>
      <c r="P30" s="175"/>
      <c r="Q30" s="173">
        <f t="shared" si="1"/>
        <v>1434000</v>
      </c>
      <c r="R30" s="173"/>
    </row>
    <row r="31" spans="3:18" ht="24" customHeight="1" x14ac:dyDescent="0.2">
      <c r="C31" s="221" t="s">
        <v>230</v>
      </c>
      <c r="D31" s="222"/>
      <c r="E31" s="71"/>
      <c r="F31" s="170">
        <v>110608397.89000002</v>
      </c>
      <c r="G31" s="176"/>
      <c r="H31" s="170">
        <v>84553353.769999996</v>
      </c>
      <c r="I31" s="177"/>
      <c r="J31" s="177"/>
      <c r="K31" s="177"/>
      <c r="L31" s="173"/>
      <c r="M31" s="177"/>
      <c r="N31" s="177"/>
      <c r="O31" s="170">
        <v>93732795.390000001</v>
      </c>
      <c r="P31" s="170"/>
      <c r="Q31" s="172">
        <f>F31+H31-I31+K31+M31-O31</f>
        <v>101428956.27000003</v>
      </c>
      <c r="R31" s="176"/>
    </row>
    <row r="32" spans="3:18" ht="24.75" customHeight="1" x14ac:dyDescent="0.2">
      <c r="C32" s="221" t="s">
        <v>229</v>
      </c>
      <c r="D32" s="221"/>
      <c r="E32" s="70"/>
      <c r="F32" s="170">
        <v>74039.710000000006</v>
      </c>
      <c r="G32" s="176"/>
      <c r="H32" s="178">
        <v>149664.4</v>
      </c>
      <c r="I32" s="179"/>
      <c r="J32" s="179"/>
      <c r="K32" s="179"/>
      <c r="L32" s="173"/>
      <c r="M32" s="179"/>
      <c r="N32" s="179"/>
      <c r="O32" s="170">
        <v>50000</v>
      </c>
      <c r="P32" s="170"/>
      <c r="Q32" s="172">
        <f>F32+H32-I32+K32+M32-O32</f>
        <v>173704.11</v>
      </c>
      <c r="R32" s="172"/>
    </row>
    <row r="33" spans="3:18" x14ac:dyDescent="0.2">
      <c r="C33" s="223" t="s">
        <v>228</v>
      </c>
      <c r="D33" s="223"/>
      <c r="E33" s="69"/>
      <c r="F33" s="180">
        <f>+F13+F31+F32</f>
        <v>121445312.98</v>
      </c>
      <c r="G33" s="180">
        <f>+G13+G31+G32</f>
        <v>30264.670000000013</v>
      </c>
      <c r="H33" s="180">
        <f>+H13+H31+H32</f>
        <v>89130623.170000002</v>
      </c>
      <c r="I33" s="181"/>
      <c r="J33" s="181"/>
      <c r="K33" s="181"/>
      <c r="L33" s="180">
        <f>+L13+L31+L32</f>
        <v>23579.22</v>
      </c>
      <c r="M33" s="180"/>
      <c r="N33" s="180"/>
      <c r="O33" s="180">
        <f>+O13+O31+O32</f>
        <v>97127172.409999996</v>
      </c>
      <c r="P33" s="181"/>
      <c r="Q33" s="180">
        <f>+Q13+Q31+Q32</f>
        <v>113448763.74000002</v>
      </c>
      <c r="R33" s="182">
        <f>+R31+R13</f>
        <v>6685.4500000000116</v>
      </c>
    </row>
  </sheetData>
  <mergeCells count="41">
    <mergeCell ref="AO10:AP10"/>
    <mergeCell ref="AM10:AM11"/>
    <mergeCell ref="AN10:AN11"/>
    <mergeCell ref="C29:D29"/>
    <mergeCell ref="C30:D30"/>
    <mergeCell ref="C13:D13"/>
    <mergeCell ref="C14:D14"/>
    <mergeCell ref="C15:D15"/>
    <mergeCell ref="C22:D22"/>
    <mergeCell ref="C23:D23"/>
    <mergeCell ref="C18:D18"/>
    <mergeCell ref="C19:D19"/>
    <mergeCell ref="C20:D20"/>
    <mergeCell ref="C21:D21"/>
    <mergeCell ref="C16:D16"/>
    <mergeCell ref="C17:D17"/>
    <mergeCell ref="C31:D31"/>
    <mergeCell ref="C32:D32"/>
    <mergeCell ref="C33:D33"/>
    <mergeCell ref="C24:D24"/>
    <mergeCell ref="C25:D25"/>
    <mergeCell ref="C26:D26"/>
    <mergeCell ref="C27:D27"/>
    <mergeCell ref="C28:D28"/>
    <mergeCell ref="C9:R9"/>
    <mergeCell ref="L10:L11"/>
    <mergeCell ref="M10:N10"/>
    <mergeCell ref="O10:P10"/>
    <mergeCell ref="Q10:R10"/>
    <mergeCell ref="C10:D12"/>
    <mergeCell ref="E10:E12"/>
    <mergeCell ref="F10:G10"/>
    <mergeCell ref="H10:I10"/>
    <mergeCell ref="J10:K10"/>
    <mergeCell ref="S2:Y2"/>
    <mergeCell ref="S3:S5"/>
    <mergeCell ref="T3:U3"/>
    <mergeCell ref="V3:W3"/>
    <mergeCell ref="X3:Y4"/>
    <mergeCell ref="T4:U4"/>
    <mergeCell ref="V4:W4"/>
  </mergeCells>
  <pageMargins left="0.7" right="0.7" top="0.75" bottom="0.75" header="0.3" footer="0.3"/>
  <ignoredErrors>
    <ignoredError sqref="F12:Q12" numberStoredAsText="1"/>
    <ignoredError sqref="F13:Q13" numberStoredAsText="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44622-C2F6-463D-9EDB-0F948F85F462}">
  <sheetPr>
    <tabColor rgb="FFFFFF00"/>
    <pageSetUpPr fitToPage="1"/>
  </sheetPr>
  <dimension ref="A1:H26"/>
  <sheetViews>
    <sheetView zoomScaleNormal="100" workbookViewId="0">
      <selection activeCell="J23" sqref="J23"/>
    </sheetView>
  </sheetViews>
  <sheetFormatPr baseColWidth="10" defaultRowHeight="15" x14ac:dyDescent="0.25"/>
  <cols>
    <col min="1" max="1" width="37.42578125" customWidth="1"/>
    <col min="2" max="2" width="8.28515625" customWidth="1"/>
    <col min="3" max="3" width="17" bestFit="1" customWidth="1"/>
    <col min="4" max="4" width="16.5703125" bestFit="1" customWidth="1"/>
    <col min="5" max="5" width="32.5703125" customWidth="1"/>
    <col min="6" max="6" width="8.28515625" customWidth="1"/>
    <col min="7" max="8" width="16.28515625" bestFit="1" customWidth="1"/>
    <col min="9" max="9" width="15.28515625" bestFit="1" customWidth="1"/>
    <col min="10" max="10" width="16.7109375" bestFit="1" customWidth="1"/>
    <col min="11" max="11" width="14.5703125" bestFit="1" customWidth="1"/>
  </cols>
  <sheetData>
    <row r="1" spans="1:8" x14ac:dyDescent="0.25">
      <c r="A1" s="202" t="s">
        <v>288</v>
      </c>
      <c r="B1" s="203"/>
      <c r="C1" s="203"/>
      <c r="D1" s="203"/>
      <c r="E1" s="203"/>
      <c r="F1" s="203"/>
      <c r="G1" s="203"/>
      <c r="H1" s="203"/>
    </row>
    <row r="2" spans="1:8" ht="48" x14ac:dyDescent="0.25">
      <c r="A2" s="144" t="s">
        <v>1</v>
      </c>
      <c r="B2" s="144" t="s">
        <v>289</v>
      </c>
      <c r="C2" s="144">
        <v>2024</v>
      </c>
      <c r="D2" s="144">
        <v>2023</v>
      </c>
      <c r="E2" s="144" t="s">
        <v>3</v>
      </c>
      <c r="F2" s="144" t="s">
        <v>289</v>
      </c>
      <c r="G2" s="144">
        <v>2024</v>
      </c>
      <c r="H2" s="144">
        <v>2023</v>
      </c>
    </row>
    <row r="3" spans="1:8" x14ac:dyDescent="0.25">
      <c r="A3" s="84" t="s">
        <v>4</v>
      </c>
      <c r="B3" s="85"/>
      <c r="C3" s="86">
        <f>+C4+C7+C13+C14+C16</f>
        <v>1946557473.5733032</v>
      </c>
      <c r="D3" s="87">
        <f>+D4+D7+D13+D14+D16</f>
        <v>1926129334.3616352</v>
      </c>
      <c r="E3" s="84" t="s">
        <v>5</v>
      </c>
      <c r="F3" s="88">
        <v>12</v>
      </c>
      <c r="G3" s="89">
        <f>+G4+G5+G10</f>
        <v>1809579397.2233031</v>
      </c>
      <c r="H3" s="89">
        <f>+H4+H5+H10</f>
        <v>1772182039.9216352</v>
      </c>
    </row>
    <row r="4" spans="1:8" x14ac:dyDescent="0.25">
      <c r="A4" s="152" t="s">
        <v>6</v>
      </c>
      <c r="B4" s="88">
        <v>9</v>
      </c>
      <c r="C4" s="89">
        <f>C5</f>
        <v>150304.41999999969</v>
      </c>
      <c r="D4" s="89">
        <f>D5</f>
        <v>184183.32999999984</v>
      </c>
      <c r="E4" s="152" t="s">
        <v>8</v>
      </c>
      <c r="F4" s="88"/>
      <c r="G4" s="89">
        <f>'[2]Balance Consolidado Trabajo'!T38</f>
        <v>2012545526.28</v>
      </c>
      <c r="H4" s="89">
        <f>'[2]Balance Consolidado Trabajo'!T38</f>
        <v>2012545526.28</v>
      </c>
    </row>
    <row r="5" spans="1:8" x14ac:dyDescent="0.25">
      <c r="A5" s="90" t="s">
        <v>290</v>
      </c>
      <c r="B5" s="91"/>
      <c r="C5" s="92">
        <f>'[2]Balance Consolidado Trabajo'!Q5</f>
        <v>150304.41999999969</v>
      </c>
      <c r="D5" s="93">
        <f>'[2]Balance Consolidado Trabajo'!T5</f>
        <v>184183.32999999984</v>
      </c>
      <c r="E5" s="152" t="s">
        <v>12</v>
      </c>
      <c r="F5" s="88"/>
      <c r="G5" s="89">
        <f>+G6+G7+G8</f>
        <v>-286623004.03669691</v>
      </c>
      <c r="H5" s="89">
        <f>+H6+H7+H8</f>
        <v>-326942849.70836461</v>
      </c>
    </row>
    <row r="6" spans="1:8" x14ac:dyDescent="0.25">
      <c r="A6" s="230"/>
      <c r="B6" s="230"/>
      <c r="C6" s="230"/>
      <c r="D6" s="230"/>
      <c r="E6" s="153" t="s">
        <v>291</v>
      </c>
      <c r="F6" s="149"/>
      <c r="G6" s="150">
        <f>'[2]Balance Consolidado Trabajo'!Q42</f>
        <v>3690610.8833030178</v>
      </c>
      <c r="H6" s="150">
        <f>'[2]Balance Consolidado Trabajo'!T42</f>
        <v>3257129.05496869</v>
      </c>
    </row>
    <row r="7" spans="1:8" x14ac:dyDescent="0.25">
      <c r="A7" s="152" t="s">
        <v>14</v>
      </c>
      <c r="B7" s="88">
        <v>7</v>
      </c>
      <c r="C7" s="89">
        <f>SUM(C8:C11)</f>
        <v>1938793336.9300001</v>
      </c>
      <c r="D7" s="89">
        <f>SUM(D8:D11)</f>
        <v>1921077062.99</v>
      </c>
      <c r="E7" s="153" t="s">
        <v>292</v>
      </c>
      <c r="F7" s="149"/>
      <c r="G7" s="150">
        <f>'[2]Balance Consolidado Trabajo'!Q40</f>
        <v>-330642217.63</v>
      </c>
      <c r="H7" s="150">
        <f>'[2]Balance Consolidado Trabajo'!T40</f>
        <v>-288553243.91000003</v>
      </c>
    </row>
    <row r="8" spans="1:8" ht="22.5" x14ac:dyDescent="0.25">
      <c r="A8" s="153" t="s">
        <v>293</v>
      </c>
      <c r="B8" s="149"/>
      <c r="C8" s="150">
        <f>+'[2]Balance Consolidado Trabajo'!Q9+'[2]Balance Consolidado Trabajo'!Q10</f>
        <v>1825212452.3000002</v>
      </c>
      <c r="D8" s="150">
        <f>+'[2]Balance Consolidado Trabajo'!T9+'[2]Balance Consolidado Trabajo'!T10</f>
        <v>1831351920.8200002</v>
      </c>
      <c r="E8" s="153" t="s">
        <v>294</v>
      </c>
      <c r="F8" s="149"/>
      <c r="G8" s="150">
        <f>'[2]Balance Consolidado Trabajo'!Q41</f>
        <v>40328602.710000053</v>
      </c>
      <c r="H8" s="150">
        <f>'[2]Balance Consolidado Trabajo'!T41</f>
        <v>-41646734.853333279</v>
      </c>
    </row>
    <row r="9" spans="1:8" x14ac:dyDescent="0.25">
      <c r="A9" s="153" t="s">
        <v>295</v>
      </c>
      <c r="B9" s="149"/>
      <c r="C9" s="150">
        <f>'[2]Balance Consolidado Trabajo'!Q11</f>
        <v>1060267.79</v>
      </c>
      <c r="D9" s="150">
        <f>'[2]Balance Consolidado Trabajo'!T11</f>
        <v>1060267.79</v>
      </c>
      <c r="E9" s="230"/>
      <c r="F9" s="230"/>
      <c r="G9" s="230"/>
      <c r="H9" s="230"/>
    </row>
    <row r="10" spans="1:8" ht="22.5" x14ac:dyDescent="0.25">
      <c r="A10" s="153" t="s">
        <v>296</v>
      </c>
      <c r="B10" s="149"/>
      <c r="C10" s="150">
        <f>'[2]Balance Consolidado Trabajo'!Q12</f>
        <v>54896265.079999998</v>
      </c>
      <c r="D10" s="150">
        <f>'[2]Balance Consolidado Trabajo'!T12</f>
        <v>56213816.329999886</v>
      </c>
      <c r="E10" s="152" t="s">
        <v>18</v>
      </c>
      <c r="F10" s="88"/>
      <c r="G10" s="89">
        <f>'[2]Balance Consolidado Trabajo'!Q43</f>
        <v>83656874.980000004</v>
      </c>
      <c r="H10" s="89">
        <f>'[2]Balance Consolidado Trabajo'!T43</f>
        <v>86579363.349999994</v>
      </c>
    </row>
    <row r="11" spans="1:8" x14ac:dyDescent="0.25">
      <c r="A11" s="153" t="s">
        <v>297</v>
      </c>
      <c r="B11" s="149"/>
      <c r="C11" s="150">
        <f>'[2]Balance Consolidado Trabajo'!Q13</f>
        <v>57624351.760000005</v>
      </c>
      <c r="D11" s="150">
        <f>'[2]Balance Consolidado Trabajo'!T13</f>
        <v>32451058.049999997</v>
      </c>
      <c r="E11" s="228"/>
      <c r="F11" s="228"/>
      <c r="G11" s="228"/>
      <c r="H11" s="228"/>
    </row>
    <row r="12" spans="1:8" x14ac:dyDescent="0.25">
      <c r="A12" s="228"/>
      <c r="B12" s="228"/>
      <c r="C12" s="228"/>
      <c r="D12" s="228"/>
      <c r="E12" s="84" t="s">
        <v>22</v>
      </c>
      <c r="F12" s="85"/>
      <c r="G12" s="89">
        <f>G13+G14</f>
        <v>153635578.16</v>
      </c>
      <c r="H12" s="89">
        <f>H13+H14</f>
        <v>260165671.85000002</v>
      </c>
    </row>
    <row r="13" spans="1:8" x14ac:dyDescent="0.25">
      <c r="A13" s="152" t="s">
        <v>298</v>
      </c>
      <c r="B13" s="88">
        <v>8</v>
      </c>
      <c r="C13" s="89">
        <f>'[2]Balance Consolidado Trabajo'!Q14</f>
        <v>71962.929999999993</v>
      </c>
      <c r="D13" s="89">
        <f>'[2]Balance Consolidado Trabajo'!T14</f>
        <v>74611.87</v>
      </c>
      <c r="E13" s="152" t="s">
        <v>24</v>
      </c>
      <c r="F13" s="88" t="s">
        <v>299</v>
      </c>
      <c r="G13" s="89">
        <f>'[2]Balance Consolidado Trabajo'!Q46</f>
        <v>45628699.259999998</v>
      </c>
      <c r="H13" s="89">
        <f>'[2]Balance Consolidado Trabajo'!T46</f>
        <v>144891026.90000001</v>
      </c>
    </row>
    <row r="14" spans="1:8" ht="22.5" x14ac:dyDescent="0.25">
      <c r="A14" s="152" t="s">
        <v>300</v>
      </c>
      <c r="B14" s="88" t="s">
        <v>301</v>
      </c>
      <c r="C14" s="89">
        <f>C15</f>
        <v>3580225.1733031049</v>
      </c>
      <c r="D14" s="89">
        <f>D15</f>
        <v>3692041.231635428</v>
      </c>
      <c r="E14" s="152" t="s">
        <v>27</v>
      </c>
      <c r="F14" s="88">
        <v>11</v>
      </c>
      <c r="G14" s="89">
        <f>G15</f>
        <v>108006878.90000001</v>
      </c>
      <c r="H14" s="89">
        <f>H15</f>
        <v>115274644.95</v>
      </c>
    </row>
    <row r="15" spans="1:8" x14ac:dyDescent="0.25">
      <c r="A15" s="153" t="s">
        <v>302</v>
      </c>
      <c r="B15" s="151"/>
      <c r="C15" s="183">
        <f>'[2]Balance Consolidado Trabajo'!Q17</f>
        <v>3580225.1733031049</v>
      </c>
      <c r="D15" s="183">
        <f>'[2]Balance Consolidado Trabajo'!T17</f>
        <v>3692041.231635428</v>
      </c>
      <c r="E15" s="153" t="s">
        <v>303</v>
      </c>
      <c r="F15" s="151"/>
      <c r="G15" s="183">
        <f>'[2]Balance Consolidado Trabajo'!Q48</f>
        <v>108006878.90000001</v>
      </c>
      <c r="H15" s="183">
        <f>'[2]Balance Consolidado Trabajo'!T48</f>
        <v>115274644.95</v>
      </c>
    </row>
    <row r="16" spans="1:8" x14ac:dyDescent="0.25">
      <c r="A16" s="152" t="s">
        <v>304</v>
      </c>
      <c r="B16" s="88">
        <v>10</v>
      </c>
      <c r="C16" s="89">
        <f>'[2]Balance Consolidado Trabajo'!Q18</f>
        <v>3961644.12</v>
      </c>
      <c r="D16" s="89">
        <f>'[2]Balance Consolidado Trabajo'!T18</f>
        <v>1101434.9400000002</v>
      </c>
      <c r="E16" s="84" t="s">
        <v>34</v>
      </c>
      <c r="F16" s="85"/>
      <c r="G16" s="89">
        <f>G17+G19+G22+G24+G25</f>
        <v>171012357.46000001</v>
      </c>
      <c r="H16" s="89">
        <f>+H17+H19+H22+H24+H25</f>
        <v>159786402.63</v>
      </c>
    </row>
    <row r="17" spans="1:8" x14ac:dyDescent="0.25">
      <c r="A17" s="228"/>
      <c r="B17" s="228"/>
      <c r="C17" s="228"/>
      <c r="D17" s="228"/>
      <c r="E17" s="152" t="s">
        <v>36</v>
      </c>
      <c r="F17" s="88" t="s">
        <v>299</v>
      </c>
      <c r="G17" s="89">
        <f>'[2]Balance Consolidado Trabajo'!Q53</f>
        <v>6127885.1799999997</v>
      </c>
      <c r="H17" s="89">
        <f>'[2]Balance Consolidado Trabajo'!T53</f>
        <v>1600174.07</v>
      </c>
    </row>
    <row r="18" spans="1:8" x14ac:dyDescent="0.25">
      <c r="A18" s="84" t="s">
        <v>33</v>
      </c>
      <c r="B18" s="88"/>
      <c r="C18" s="89">
        <f>+C19+C21+C23+C24+C25</f>
        <v>187669859.27000001</v>
      </c>
      <c r="D18" s="89">
        <f>+D19+D21+D23+D24+D25</f>
        <v>266004780.04000002</v>
      </c>
      <c r="E18" s="229"/>
      <c r="F18" s="229"/>
      <c r="G18" s="229"/>
      <c r="H18" s="229"/>
    </row>
    <row r="19" spans="1:8" x14ac:dyDescent="0.25">
      <c r="A19" s="152" t="s">
        <v>35</v>
      </c>
      <c r="B19" s="88"/>
      <c r="C19" s="89">
        <f>'[2]Balance Consolidado Trabajo'!Q22</f>
        <v>556769.86</v>
      </c>
      <c r="D19" s="89">
        <f>'[2]Balance Consolidado Trabajo'!T22</f>
        <v>686559.87</v>
      </c>
      <c r="E19" s="152" t="s">
        <v>40</v>
      </c>
      <c r="F19" s="88">
        <v>11</v>
      </c>
      <c r="G19" s="89">
        <f>G20+G21</f>
        <v>5459157.370000001</v>
      </c>
      <c r="H19" s="89">
        <f>H20+H21</f>
        <v>6185265.5600000005</v>
      </c>
    </row>
    <row r="20" spans="1:8" x14ac:dyDescent="0.25">
      <c r="A20" s="230"/>
      <c r="B20" s="230"/>
      <c r="C20" s="230"/>
      <c r="D20" s="230"/>
      <c r="E20" s="153" t="s">
        <v>305</v>
      </c>
      <c r="F20" s="149"/>
      <c r="G20" s="94">
        <v>0</v>
      </c>
      <c r="H20" s="94">
        <v>0</v>
      </c>
    </row>
    <row r="21" spans="1:8" x14ac:dyDescent="0.25">
      <c r="A21" s="152" t="s">
        <v>39</v>
      </c>
      <c r="B21" s="88"/>
      <c r="C21" s="89">
        <f>'[2]Balance Consolidado Trabajo'!Q24</f>
        <v>118454169.83000001</v>
      </c>
      <c r="D21" s="89">
        <f>'[2]Balance Consolidado Trabajo'!T24</f>
        <v>127097943.91</v>
      </c>
      <c r="E21" s="153" t="s">
        <v>303</v>
      </c>
      <c r="F21" s="149"/>
      <c r="G21" s="150">
        <f>'[2]Balance Consolidado Trabajo'!Q56+'[2]Balance Consolidado Trabajo'!Q55</f>
        <v>5459157.370000001</v>
      </c>
      <c r="H21" s="150">
        <f>'[2]Balance Consolidado Trabajo'!T56+'[2]Balance Consolidado Trabajo'!T55</f>
        <v>6185265.5600000005</v>
      </c>
    </row>
    <row r="22" spans="1:8" ht="22.5" x14ac:dyDescent="0.25">
      <c r="A22" s="231"/>
      <c r="B22" s="231"/>
      <c r="C22" s="231"/>
      <c r="D22" s="231"/>
      <c r="E22" s="152" t="s">
        <v>306</v>
      </c>
      <c r="F22" s="88"/>
      <c r="G22" s="95">
        <f>G23</f>
        <v>0</v>
      </c>
      <c r="H22" s="94">
        <f>H23</f>
        <v>0</v>
      </c>
    </row>
    <row r="23" spans="1:8" x14ac:dyDescent="0.25">
      <c r="A23" s="152" t="s">
        <v>49</v>
      </c>
      <c r="B23" s="88">
        <v>10</v>
      </c>
      <c r="C23" s="89">
        <f>'[2]Balance Consolidado Trabajo'!Q28</f>
        <v>1927946.8599999999</v>
      </c>
      <c r="D23" s="89">
        <f>'[2]Balance Consolidado Trabajo'!T28</f>
        <v>3619503.9099999997</v>
      </c>
      <c r="E23" s="153" t="s">
        <v>307</v>
      </c>
      <c r="F23" s="149"/>
      <c r="G23" s="96">
        <f>'[2]Balance Consolidado Trabajo'!Q58</f>
        <v>0</v>
      </c>
      <c r="H23" s="96">
        <f>'[2]Balance Consolidado Trabajo'!T58</f>
        <v>0</v>
      </c>
    </row>
    <row r="24" spans="1:8" x14ac:dyDescent="0.25">
      <c r="A24" s="152" t="s">
        <v>308</v>
      </c>
      <c r="B24" s="88"/>
      <c r="C24" s="89">
        <f>'[2]Balance Consolidado Trabajo'!Q30</f>
        <v>93060.93</v>
      </c>
      <c r="D24" s="89">
        <f>'[2]Balance Consolidado Trabajo'!T30</f>
        <v>3951.39</v>
      </c>
      <c r="E24" s="152" t="s">
        <v>48</v>
      </c>
      <c r="F24" s="88"/>
      <c r="G24" s="89">
        <f>'[2]Balance Consolidado Trabajo'!Q59</f>
        <v>77040936.810000002</v>
      </c>
      <c r="H24" s="89">
        <f>'[2]Balance Consolidado Trabajo'!T59</f>
        <v>72509990.980000004</v>
      </c>
    </row>
    <row r="25" spans="1:8" ht="22.5" x14ac:dyDescent="0.25">
      <c r="A25" s="152" t="s">
        <v>55</v>
      </c>
      <c r="B25" s="88"/>
      <c r="C25" s="89">
        <f>'[2]Balance Consolidado Trabajo'!Q31</f>
        <v>66637911.789999999</v>
      </c>
      <c r="D25" s="89">
        <f>'[2]Balance Consolidado Trabajo'!T31</f>
        <v>134596820.96000001</v>
      </c>
      <c r="E25" s="152" t="s">
        <v>56</v>
      </c>
      <c r="F25" s="88"/>
      <c r="G25" s="89">
        <f>'[2]Balance Consolidado Trabajo'!Q64</f>
        <v>82384378.100000009</v>
      </c>
      <c r="H25" s="89">
        <f>'[2]Balance Consolidado Trabajo'!T64</f>
        <v>79490972.020000011</v>
      </c>
    </row>
    <row r="26" spans="1:8" x14ac:dyDescent="0.25">
      <c r="A26" s="97" t="s">
        <v>60</v>
      </c>
      <c r="B26" s="97"/>
      <c r="C26" s="98">
        <f>+C3+C18</f>
        <v>2134227332.8433032</v>
      </c>
      <c r="D26" s="98">
        <f>+D3+D18</f>
        <v>2192134114.4016352</v>
      </c>
      <c r="E26" s="97" t="s">
        <v>309</v>
      </c>
      <c r="F26" s="97"/>
      <c r="G26" s="98">
        <f>G3+G12+G16</f>
        <v>2134227332.8433032</v>
      </c>
      <c r="H26" s="98">
        <f>H3+H12+H16</f>
        <v>2192134114.4016352</v>
      </c>
    </row>
  </sheetData>
  <mergeCells count="9">
    <mergeCell ref="A17:D17"/>
    <mergeCell ref="E18:H18"/>
    <mergeCell ref="A20:D20"/>
    <mergeCell ref="A22:D22"/>
    <mergeCell ref="A1:H1"/>
    <mergeCell ref="A6:D6"/>
    <mergeCell ref="E9:H9"/>
    <mergeCell ref="E11:H11"/>
    <mergeCell ref="A12:D12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F0939-6E12-4C31-8D8B-5BB1C52AA1E0}">
  <sheetPr>
    <tabColor rgb="FFFFFF00"/>
    <pageSetUpPr fitToPage="1"/>
  </sheetPr>
  <dimension ref="A1:C37"/>
  <sheetViews>
    <sheetView topLeftCell="A19" workbookViewId="0">
      <selection activeCell="C47" sqref="C47"/>
    </sheetView>
  </sheetViews>
  <sheetFormatPr baseColWidth="10" defaultRowHeight="15" x14ac:dyDescent="0.25"/>
  <cols>
    <col min="1" max="1" width="75" style="103" customWidth="1"/>
    <col min="2" max="3" width="17.85546875" style="104" bestFit="1" customWidth="1"/>
  </cols>
  <sheetData>
    <row r="1" spans="1:3" x14ac:dyDescent="0.25">
      <c r="A1" s="211" t="s">
        <v>310</v>
      </c>
      <c r="B1" s="211"/>
      <c r="C1" s="211"/>
    </row>
    <row r="2" spans="1:3" x14ac:dyDescent="0.25">
      <c r="A2" s="148"/>
      <c r="B2" s="148" t="s">
        <v>389</v>
      </c>
      <c r="C2" s="148" t="s">
        <v>311</v>
      </c>
    </row>
    <row r="3" spans="1:3" x14ac:dyDescent="0.25">
      <c r="A3" s="25" t="s">
        <v>106</v>
      </c>
      <c r="B3" s="99">
        <f>SUM(B4)</f>
        <v>8776573.2400000002</v>
      </c>
      <c r="C3" s="99">
        <f>SUM(C4)</f>
        <v>8558834.2599999998</v>
      </c>
    </row>
    <row r="4" spans="1:3" x14ac:dyDescent="0.25">
      <c r="A4" s="146" t="s">
        <v>312</v>
      </c>
      <c r="B4" s="100">
        <f>'[2] PyG Consolidado Trabajo'!O3</f>
        <v>8776573.2400000002</v>
      </c>
      <c r="C4" s="100">
        <f>'[2] PyG Consolidado Trabajo'!P3</f>
        <v>8558834.2599999998</v>
      </c>
    </row>
    <row r="5" spans="1:3" x14ac:dyDescent="0.25">
      <c r="A5" s="25" t="s">
        <v>104</v>
      </c>
      <c r="B5" s="99">
        <f>SUM(B6:B8)</f>
        <v>496042728.75999999</v>
      </c>
      <c r="C5" s="99">
        <f>SUM(C6:C8)</f>
        <v>496672293.70999998</v>
      </c>
    </row>
    <row r="6" spans="1:3" x14ac:dyDescent="0.25">
      <c r="A6" s="146" t="s">
        <v>103</v>
      </c>
      <c r="B6" s="100">
        <f>'[2] PyG Consolidado Trabajo'!O6</f>
        <v>407802012.06999999</v>
      </c>
      <c r="C6" s="100">
        <f>'[2] PyG Consolidado Trabajo'!P6</f>
        <v>402835639.80000001</v>
      </c>
    </row>
    <row r="7" spans="1:3" x14ac:dyDescent="0.25">
      <c r="A7" s="146" t="s">
        <v>313</v>
      </c>
      <c r="B7" s="100">
        <f>'[2] PyG Consolidado Trabajo'!O8</f>
        <v>220077.58</v>
      </c>
      <c r="C7" s="100">
        <f>'[2] PyG Consolidado Trabajo'!P8</f>
        <v>220077.58</v>
      </c>
    </row>
    <row r="8" spans="1:3" x14ac:dyDescent="0.25">
      <c r="A8" s="146" t="s">
        <v>314</v>
      </c>
      <c r="B8" s="100">
        <f>'[2] PyG Consolidado Trabajo'!O9</f>
        <v>88020639.109999999</v>
      </c>
      <c r="C8" s="100">
        <f>'[2] PyG Consolidado Trabajo'!P9</f>
        <v>93616576.329999998</v>
      </c>
    </row>
    <row r="9" spans="1:3" x14ac:dyDescent="0.25">
      <c r="A9" s="25" t="s">
        <v>99</v>
      </c>
      <c r="B9" s="99">
        <f>SUM(B10)</f>
        <v>125885378.14999999</v>
      </c>
      <c r="C9" s="99">
        <f>SUM(C10)</f>
        <v>139449387.99000001</v>
      </c>
    </row>
    <row r="10" spans="1:3" x14ac:dyDescent="0.25">
      <c r="A10" s="146" t="s">
        <v>98</v>
      </c>
      <c r="B10" s="100">
        <f>'[2] PyG Consolidado Trabajo'!O10</f>
        <v>125885378.14999999</v>
      </c>
      <c r="C10" s="100">
        <f>'[2] PyG Consolidado Trabajo'!P10</f>
        <v>139449387.99000001</v>
      </c>
    </row>
    <row r="11" spans="1:3" x14ac:dyDescent="0.25">
      <c r="A11" s="25" t="s">
        <v>315</v>
      </c>
      <c r="B11" s="99">
        <f>'[2] PyG Consolidado Trabajo'!O12+'[2] PyG Consolidado Trabajo'!O13</f>
        <v>107463361.90000001</v>
      </c>
      <c r="C11" s="99">
        <f>'[2] PyG Consolidado Trabajo'!P12+'[2] PyG Consolidado Trabajo'!P13</f>
        <v>4139244.6799999997</v>
      </c>
    </row>
    <row r="12" spans="1:3" x14ac:dyDescent="0.25">
      <c r="A12" s="101" t="s">
        <v>96</v>
      </c>
      <c r="B12" s="102">
        <f>B3+B5+B9+B11</f>
        <v>738168042.04999995</v>
      </c>
      <c r="C12" s="102">
        <f>C3+C5+C9+C11</f>
        <v>648819760.63999999</v>
      </c>
    </row>
    <row r="13" spans="1:3" x14ac:dyDescent="0.25">
      <c r="A13" s="25" t="s">
        <v>95</v>
      </c>
      <c r="B13" s="99">
        <f>SUM(B14:B15)</f>
        <v>-544079655.76999998</v>
      </c>
      <c r="C13" s="99">
        <f>SUM(C14:C15)</f>
        <v>-526995155.34999996</v>
      </c>
    </row>
    <row r="14" spans="1:3" x14ac:dyDescent="0.25">
      <c r="A14" s="146" t="s">
        <v>93</v>
      </c>
      <c r="B14" s="100">
        <f>'[2] PyG Consolidado Trabajo'!O19</f>
        <v>-438761576.81</v>
      </c>
      <c r="C14" s="100">
        <f>'[2] PyG Consolidado Trabajo'!P19</f>
        <v>-425872242.02999997</v>
      </c>
    </row>
    <row r="15" spans="1:3" x14ac:dyDescent="0.25">
      <c r="A15" s="146" t="s">
        <v>91</v>
      </c>
      <c r="B15" s="100">
        <f>'[2] PyG Consolidado Trabajo'!O20</f>
        <v>-105318078.96000001</v>
      </c>
      <c r="C15" s="100">
        <f>'[2] PyG Consolidado Trabajo'!P20</f>
        <v>-101122913.32000001</v>
      </c>
    </row>
    <row r="16" spans="1:3" x14ac:dyDescent="0.25">
      <c r="A16" s="25" t="s">
        <v>90</v>
      </c>
      <c r="B16" s="99">
        <f>'[2] PyG Consolidado Trabajo'!O22</f>
        <v>-15273709.66</v>
      </c>
      <c r="C16" s="99">
        <f>'[2] PyG Consolidado Trabajo'!P22</f>
        <v>-31206560.77</v>
      </c>
    </row>
    <row r="17" spans="1:3" x14ac:dyDescent="0.25">
      <c r="A17" s="25" t="s">
        <v>89</v>
      </c>
      <c r="B17" s="99">
        <f>SUM(B18)</f>
        <v>-38095.53</v>
      </c>
      <c r="C17" s="99">
        <f>SUM(C18)</f>
        <v>25391.759999999998</v>
      </c>
    </row>
    <row r="18" spans="1:3" x14ac:dyDescent="0.25">
      <c r="A18" s="146" t="s">
        <v>316</v>
      </c>
      <c r="B18" s="100">
        <f>'[2] PyG Consolidado Trabajo'!O23</f>
        <v>-38095.53</v>
      </c>
      <c r="C18" s="100">
        <f>'[2] PyG Consolidado Trabajo'!P23</f>
        <v>25391.759999999998</v>
      </c>
    </row>
    <row r="19" spans="1:3" x14ac:dyDescent="0.25">
      <c r="A19" s="25" t="s">
        <v>86</v>
      </c>
      <c r="B19" s="99">
        <f>'[2] PyG Consolidado Trabajo'!O26</f>
        <v>-113990774.7</v>
      </c>
      <c r="C19" s="99">
        <f>'[2] PyG Consolidado Trabajo'!P26</f>
        <v>-111587581.22</v>
      </c>
    </row>
    <row r="20" spans="1:3" x14ac:dyDescent="0.25">
      <c r="A20" s="25" t="s">
        <v>83</v>
      </c>
      <c r="B20" s="99">
        <f>'[2] PyG Consolidado Trabajo'!O29</f>
        <v>-26318859.300000001</v>
      </c>
      <c r="C20" s="99">
        <f>'[2] PyG Consolidado Trabajo'!P29</f>
        <v>-25065755.149999999</v>
      </c>
    </row>
    <row r="21" spans="1:3" x14ac:dyDescent="0.25">
      <c r="A21" s="101" t="s">
        <v>82</v>
      </c>
      <c r="B21" s="102">
        <f>B13+B16+B17+B19+B20</f>
        <v>-699701094.95999992</v>
      </c>
      <c r="C21" s="102">
        <f>C13+C16+C17+C19+C20</f>
        <v>-694829660.73000002</v>
      </c>
    </row>
    <row r="22" spans="1:3" x14ac:dyDescent="0.25">
      <c r="A22" s="25"/>
      <c r="B22" s="99"/>
      <c r="C22" s="99"/>
    </row>
    <row r="23" spans="1:3" x14ac:dyDescent="0.25">
      <c r="A23" s="101" t="s">
        <v>81</v>
      </c>
      <c r="B23" s="102">
        <f>B12+B21</f>
        <v>38466947.090000033</v>
      </c>
      <c r="C23" s="102">
        <f>C12+C21</f>
        <v>-46009900.090000033</v>
      </c>
    </row>
    <row r="24" spans="1:3" ht="24" x14ac:dyDescent="0.25">
      <c r="A24" s="25" t="s">
        <v>80</v>
      </c>
      <c r="B24" s="99">
        <f>SUM(B25:B26)</f>
        <v>107270.39</v>
      </c>
      <c r="C24" s="99">
        <f>SUM(C25:C26)</f>
        <v>49241.270000000004</v>
      </c>
    </row>
    <row r="25" spans="1:3" x14ac:dyDescent="0.25">
      <c r="A25" s="146" t="s">
        <v>78</v>
      </c>
      <c r="B25" s="95">
        <f>'[2] PyG Consolidado Trabajo'!O36</f>
        <v>0</v>
      </c>
      <c r="C25" s="100">
        <f>'[2] PyG Consolidado Trabajo'!P36</f>
        <v>-1216.95</v>
      </c>
    </row>
    <row r="26" spans="1:3" x14ac:dyDescent="0.25">
      <c r="A26" s="146" t="s">
        <v>77</v>
      </c>
      <c r="B26" s="100">
        <f>'[2] PyG Consolidado Trabajo'!O37</f>
        <v>107270.39</v>
      </c>
      <c r="C26" s="100">
        <f>'[2] PyG Consolidado Trabajo'!P37</f>
        <v>50458.22</v>
      </c>
    </row>
    <row r="27" spans="1:3" x14ac:dyDescent="0.25">
      <c r="A27" s="25" t="s">
        <v>76</v>
      </c>
      <c r="B27" s="99">
        <f>'[2] PyG Consolidado Trabajo'!O39</f>
        <v>956428.29999999993</v>
      </c>
      <c r="C27" s="99">
        <f>'[2] PyG Consolidado Trabajo'!P39</f>
        <v>1315981.78</v>
      </c>
    </row>
    <row r="28" spans="1:3" x14ac:dyDescent="0.25">
      <c r="A28" s="101" t="s">
        <v>317</v>
      </c>
      <c r="B28" s="102">
        <f>B23+B24+B27</f>
        <v>39530645.780000031</v>
      </c>
      <c r="C28" s="102">
        <f>C23+C24+C27</f>
        <v>-44644677.040000029</v>
      </c>
    </row>
    <row r="29" spans="1:3" x14ac:dyDescent="0.25">
      <c r="A29" s="25" t="s">
        <v>318</v>
      </c>
      <c r="B29" s="99">
        <f>SUM(B30)</f>
        <v>3103928.77</v>
      </c>
      <c r="C29" s="99">
        <f>SUM(C30)</f>
        <v>3520114.92</v>
      </c>
    </row>
    <row r="30" spans="1:3" x14ac:dyDescent="0.25">
      <c r="A30" s="146" t="s">
        <v>71</v>
      </c>
      <c r="B30" s="100">
        <f>'[2] PyG Consolidado Trabajo'!O47</f>
        <v>3103928.77</v>
      </c>
      <c r="C30" s="100">
        <f>'[2] PyG Consolidado Trabajo'!P47</f>
        <v>3520114.92</v>
      </c>
    </row>
    <row r="31" spans="1:3" x14ac:dyDescent="0.25">
      <c r="A31" s="25" t="s">
        <v>319</v>
      </c>
      <c r="B31" s="99">
        <f>'[2] PyG Consolidado Trabajo'!O51</f>
        <v>-742544.2</v>
      </c>
      <c r="C31" s="99">
        <f>'[2] PyG Consolidado Trabajo'!P51</f>
        <v>-618285.84</v>
      </c>
    </row>
    <row r="32" spans="1:3" x14ac:dyDescent="0.25">
      <c r="A32" s="25" t="s">
        <v>320</v>
      </c>
      <c r="B32" s="99">
        <f>'[2] PyG Consolidado Trabajo'!O55</f>
        <v>-7135.61</v>
      </c>
      <c r="C32" s="99">
        <f>'[2] PyG Consolidado Trabajo'!P55</f>
        <v>-1319.63</v>
      </c>
    </row>
    <row r="33" spans="1:3" x14ac:dyDescent="0.25">
      <c r="A33" s="25" t="s">
        <v>321</v>
      </c>
      <c r="B33" s="99">
        <f>'[2] PyG Consolidado Trabajo'!O56</f>
        <v>-1453233.01</v>
      </c>
      <c r="C33" s="99">
        <f>'[2] PyG Consolidado Trabajo'!P56</f>
        <v>14153.75</v>
      </c>
    </row>
    <row r="34" spans="1:3" x14ac:dyDescent="0.25">
      <c r="A34" s="101" t="s">
        <v>322</v>
      </c>
      <c r="B34" s="102">
        <f>B29+B31+B32+B33</f>
        <v>901015.95000000042</v>
      </c>
      <c r="C34" s="102">
        <f>C29+C31+C32+C33</f>
        <v>2914663.2</v>
      </c>
    </row>
    <row r="35" spans="1:3" x14ac:dyDescent="0.25">
      <c r="A35" s="25" t="s">
        <v>323</v>
      </c>
      <c r="B35" s="99">
        <f>'[2] PyG Consolidado Trabajo'!O62</f>
        <v>-103059.01999991285</v>
      </c>
      <c r="C35" s="99">
        <f>'[2] PyG Consolidado Trabajo'!P62</f>
        <v>83278.986666737736</v>
      </c>
    </row>
    <row r="36" spans="1:3" x14ac:dyDescent="0.25">
      <c r="A36" s="101" t="s">
        <v>324</v>
      </c>
      <c r="B36" s="102">
        <v>0</v>
      </c>
      <c r="C36" s="102">
        <v>0</v>
      </c>
    </row>
    <row r="37" spans="1:3" x14ac:dyDescent="0.25">
      <c r="A37" s="101" t="s">
        <v>390</v>
      </c>
      <c r="B37" s="102">
        <f>B28+B34+B35+B36</f>
        <v>40328602.71000012</v>
      </c>
      <c r="C37" s="102">
        <f>C28+C34+C35+C36</f>
        <v>-41646734.853333287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  <ignoredErrors>
    <ignoredError sqref="B2:C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072D3-9775-4198-AF05-6FAA287FCF5C}">
  <sheetPr>
    <tabColor rgb="FF92D050"/>
  </sheetPr>
  <dimension ref="A1:F112"/>
  <sheetViews>
    <sheetView tabSelected="1" topLeftCell="B98" workbookViewId="0">
      <selection activeCell="F47" sqref="F47"/>
    </sheetView>
  </sheetViews>
  <sheetFormatPr baseColWidth="10" defaultColWidth="11.42578125" defaultRowHeight="12.75" x14ac:dyDescent="0.2"/>
  <cols>
    <col min="1" max="1" width="9" style="57" hidden="1" customWidth="1"/>
    <col min="2" max="2" width="21.85546875" style="184" customWidth="1"/>
    <col min="3" max="3" width="18" style="184" customWidth="1"/>
    <col min="4" max="4" width="16.42578125" style="184" customWidth="1"/>
    <col min="5" max="5" width="18.85546875" style="184" customWidth="1"/>
    <col min="6" max="6" width="18.140625" style="184" customWidth="1"/>
    <col min="7" max="16384" width="11.42578125" style="57"/>
  </cols>
  <sheetData>
    <row r="1" spans="1:6" ht="13.5" thickBot="1" x14ac:dyDescent="0.25">
      <c r="C1" s="233" t="s">
        <v>325</v>
      </c>
      <c r="D1" s="234"/>
      <c r="E1" s="235"/>
    </row>
    <row r="3" spans="1:6" x14ac:dyDescent="0.2">
      <c r="B3" s="185"/>
      <c r="C3" s="185"/>
      <c r="D3" s="185"/>
      <c r="E3" s="185"/>
      <c r="F3" s="185"/>
    </row>
    <row r="4" spans="1:6" x14ac:dyDescent="0.2">
      <c r="B4" s="185"/>
      <c r="C4" s="185"/>
      <c r="D4" s="185"/>
      <c r="E4" s="185"/>
      <c r="F4" s="185"/>
    </row>
    <row r="5" spans="1:6" ht="13.5" thickBot="1" x14ac:dyDescent="0.25">
      <c r="B5" s="236" t="s">
        <v>326</v>
      </c>
      <c r="C5" s="237"/>
      <c r="D5" s="237"/>
      <c r="E5" s="237"/>
      <c r="F5" s="238"/>
    </row>
    <row r="6" spans="1:6" ht="13.5" thickBot="1" x14ac:dyDescent="0.25">
      <c r="A6" s="124" t="s">
        <v>363</v>
      </c>
      <c r="B6" s="186" t="s">
        <v>327</v>
      </c>
      <c r="C6" s="186" t="s">
        <v>391</v>
      </c>
      <c r="D6" s="186" t="s">
        <v>392</v>
      </c>
      <c r="E6" s="186" t="s">
        <v>393</v>
      </c>
      <c r="F6" s="187" t="s">
        <v>394</v>
      </c>
    </row>
    <row r="7" spans="1:6" s="126" customFormat="1" ht="13.5" thickBot="1" x14ac:dyDescent="0.25">
      <c r="A7" s="125">
        <v>22000001</v>
      </c>
      <c r="B7" s="188" t="s">
        <v>328</v>
      </c>
      <c r="C7" s="119">
        <v>1382477082.46</v>
      </c>
      <c r="D7" s="119">
        <v>0</v>
      </c>
      <c r="E7" s="119">
        <v>0</v>
      </c>
      <c r="F7" s="119">
        <f>+C7+D7+E7</f>
        <v>1382477082.46</v>
      </c>
    </row>
    <row r="8" spans="1:6" s="126" customFormat="1" ht="13.5" hidden="1" customHeight="1" thickBot="1" x14ac:dyDescent="0.25">
      <c r="A8" s="125">
        <v>22100000</v>
      </c>
      <c r="B8" s="188" t="s">
        <v>329</v>
      </c>
      <c r="C8" s="119">
        <v>229475462.90000001</v>
      </c>
      <c r="D8" s="119">
        <v>5256130.5199999996</v>
      </c>
      <c r="E8" s="119"/>
      <c r="F8" s="119">
        <f t="shared" ref="F8:F9" si="0">+C8+D8+E8</f>
        <v>234731593.42000002</v>
      </c>
    </row>
    <row r="9" spans="1:6" ht="13.5" hidden="1" customHeight="1" thickBot="1" x14ac:dyDescent="0.25">
      <c r="A9" s="127">
        <v>22100001</v>
      </c>
      <c r="B9" s="188" t="s">
        <v>330</v>
      </c>
      <c r="C9" s="119">
        <v>787736359.63</v>
      </c>
      <c r="D9" s="119"/>
      <c r="E9" s="119"/>
      <c r="F9" s="119">
        <f t="shared" si="0"/>
        <v>787736359.63</v>
      </c>
    </row>
    <row r="10" spans="1:6" ht="13.5" thickBot="1" x14ac:dyDescent="0.25">
      <c r="A10" s="128"/>
      <c r="B10" s="188" t="s">
        <v>329</v>
      </c>
      <c r="C10" s="119">
        <f>+C8+C9</f>
        <v>1017211822.53</v>
      </c>
      <c r="D10" s="119">
        <v>5256130.5199999996</v>
      </c>
      <c r="E10" s="119">
        <v>0</v>
      </c>
      <c r="F10" s="119">
        <f>+C10+D10+E10</f>
        <v>1022467953.05</v>
      </c>
    </row>
    <row r="11" spans="1:6" s="129" customFormat="1" ht="13.5" hidden="1" customHeight="1" thickBot="1" x14ac:dyDescent="0.25">
      <c r="A11" s="128"/>
      <c r="B11" s="188"/>
      <c r="C11" s="119"/>
      <c r="D11" s="119"/>
      <c r="E11" s="119"/>
      <c r="F11" s="119"/>
    </row>
    <row r="12" spans="1:6" ht="13.5" hidden="1" customHeight="1" thickBot="1" x14ac:dyDescent="0.25">
      <c r="A12" s="127">
        <v>20800000</v>
      </c>
      <c r="B12" s="188" t="s">
        <v>331</v>
      </c>
      <c r="C12" s="119">
        <v>1060267.79</v>
      </c>
      <c r="D12" s="119"/>
      <c r="E12" s="119"/>
      <c r="F12" s="119">
        <f t="shared" ref="F12:F13" si="1">+C12+D12+E12</f>
        <v>1060267.79</v>
      </c>
    </row>
    <row r="13" spans="1:6" ht="13.5" customHeight="1" thickBot="1" x14ac:dyDescent="0.25">
      <c r="A13" s="128"/>
      <c r="B13" s="188" t="s">
        <v>332</v>
      </c>
      <c r="C13" s="119">
        <f>+C12</f>
        <v>1060267.79</v>
      </c>
      <c r="D13" s="119">
        <f t="shared" ref="D13:E13" si="2">+D12</f>
        <v>0</v>
      </c>
      <c r="E13" s="119">
        <f t="shared" si="2"/>
        <v>0</v>
      </c>
      <c r="F13" s="119">
        <f t="shared" si="1"/>
        <v>1060267.79</v>
      </c>
    </row>
    <row r="14" spans="1:6" ht="13.5" hidden="1" customHeight="1" thickBot="1" x14ac:dyDescent="0.25">
      <c r="A14" s="128"/>
      <c r="B14" s="188"/>
      <c r="C14" s="119"/>
      <c r="D14" s="119"/>
      <c r="E14" s="119"/>
      <c r="F14" s="119"/>
    </row>
    <row r="15" spans="1:6" ht="13.5" hidden="1" customHeight="1" thickBot="1" x14ac:dyDescent="0.25">
      <c r="A15" s="128"/>
      <c r="B15" s="188"/>
      <c r="C15" s="119"/>
      <c r="D15" s="119"/>
      <c r="E15" s="119"/>
      <c r="F15" s="119"/>
    </row>
    <row r="16" spans="1:6" ht="13.5" hidden="1" customHeight="1" thickBot="1" x14ac:dyDescent="0.25">
      <c r="A16" s="130"/>
      <c r="B16" s="189"/>
      <c r="C16" s="119"/>
      <c r="D16" s="119"/>
      <c r="E16" s="119"/>
      <c r="F16" s="119"/>
    </row>
    <row r="17" spans="1:6" s="126" customFormat="1" ht="13.5" hidden="1" customHeight="1" thickBot="1" x14ac:dyDescent="0.25">
      <c r="A17" s="125">
        <v>22200000</v>
      </c>
      <c r="B17" s="188" t="s">
        <v>333</v>
      </c>
      <c r="C17" s="119">
        <v>9095646.0999999996</v>
      </c>
      <c r="D17" s="119">
        <v>427636.14</v>
      </c>
      <c r="E17" s="119">
        <v>-17603.37</v>
      </c>
      <c r="F17" s="119">
        <f>+C17+D17+E17</f>
        <v>9505678.870000001</v>
      </c>
    </row>
    <row r="18" spans="1:6" ht="13.5" hidden="1" customHeight="1" thickBot="1" x14ac:dyDescent="0.25">
      <c r="A18" s="127">
        <v>22200001</v>
      </c>
      <c r="B18" s="188" t="s">
        <v>334</v>
      </c>
      <c r="C18" s="119">
        <v>20584500.68</v>
      </c>
      <c r="D18" s="119"/>
      <c r="E18" s="119"/>
      <c r="F18" s="119">
        <f>+C18+D18+E18</f>
        <v>20584500.68</v>
      </c>
    </row>
    <row r="19" spans="1:6" ht="13.5" thickBot="1" x14ac:dyDescent="0.25">
      <c r="A19" s="128"/>
      <c r="B19" s="188" t="s">
        <v>335</v>
      </c>
      <c r="C19" s="119">
        <f>+C17+C18</f>
        <v>29680146.780000001</v>
      </c>
      <c r="D19" s="119">
        <f t="shared" ref="D19:F19" si="3">+D17+D18</f>
        <v>427636.14</v>
      </c>
      <c r="E19" s="119">
        <f t="shared" si="3"/>
        <v>-17603.37</v>
      </c>
      <c r="F19" s="119">
        <f t="shared" si="3"/>
        <v>30090179.550000001</v>
      </c>
    </row>
    <row r="20" spans="1:6" ht="13.5" hidden="1" customHeight="1" thickBot="1" x14ac:dyDescent="0.25">
      <c r="A20" s="128"/>
      <c r="B20" s="188"/>
      <c r="C20" s="119"/>
      <c r="D20" s="119"/>
      <c r="E20" s="119"/>
      <c r="F20" s="119"/>
    </row>
    <row r="21" spans="1:6" ht="13.5" hidden="1" customHeight="1" thickBot="1" x14ac:dyDescent="0.25">
      <c r="A21" s="127">
        <v>22300000</v>
      </c>
      <c r="B21" s="188" t="s">
        <v>336</v>
      </c>
      <c r="C21" s="119">
        <v>94674778.219999999</v>
      </c>
      <c r="D21" s="119">
        <v>7573029.4100000001</v>
      </c>
      <c r="E21" s="119">
        <v>-284251.65999999997</v>
      </c>
      <c r="F21" s="119">
        <f>+C21+D21+E21</f>
        <v>101963555.97</v>
      </c>
    </row>
    <row r="22" spans="1:6" ht="13.5" hidden="1" customHeight="1" thickBot="1" x14ac:dyDescent="0.25">
      <c r="A22" s="127">
        <v>22300001</v>
      </c>
      <c r="B22" s="188" t="s">
        <v>337</v>
      </c>
      <c r="C22" s="119">
        <v>684757.22</v>
      </c>
      <c r="D22" s="119"/>
      <c r="E22" s="119"/>
      <c r="F22" s="119">
        <f t="shared" ref="F22:F23" si="4">+C22+D22+E22</f>
        <v>684757.22</v>
      </c>
    </row>
    <row r="23" spans="1:6" ht="13.5" thickBot="1" x14ac:dyDescent="0.25">
      <c r="A23" s="128"/>
      <c r="B23" s="188" t="s">
        <v>336</v>
      </c>
      <c r="C23" s="119">
        <f>+C21+C22</f>
        <v>95359535.439999998</v>
      </c>
      <c r="D23" s="119">
        <f t="shared" ref="D23:E23" si="5">+D21+D22</f>
        <v>7573029.4100000001</v>
      </c>
      <c r="E23" s="119">
        <f t="shared" si="5"/>
        <v>-284251.65999999997</v>
      </c>
      <c r="F23" s="119">
        <f t="shared" si="4"/>
        <v>102648313.19</v>
      </c>
    </row>
    <row r="24" spans="1:6" ht="13.5" hidden="1" customHeight="1" thickBot="1" x14ac:dyDescent="0.25">
      <c r="A24" s="128"/>
      <c r="B24" s="188"/>
      <c r="C24" s="119"/>
      <c r="D24" s="119"/>
      <c r="E24" s="119"/>
      <c r="F24" s="119"/>
    </row>
    <row r="25" spans="1:6" ht="13.5" hidden="1" customHeight="1" thickBot="1" x14ac:dyDescent="0.25">
      <c r="A25" s="127">
        <v>22400000</v>
      </c>
      <c r="B25" s="188" t="s">
        <v>338</v>
      </c>
      <c r="C25" s="119">
        <v>22240875.039999999</v>
      </c>
      <c r="D25" s="119">
        <v>742399</v>
      </c>
      <c r="E25" s="119">
        <v>-74593.5</v>
      </c>
      <c r="F25" s="119">
        <f>+C25+D25+E25</f>
        <v>22908680.539999999</v>
      </c>
    </row>
    <row r="26" spans="1:6" ht="13.5" thickBot="1" x14ac:dyDescent="0.25">
      <c r="A26" s="128"/>
      <c r="B26" s="188" t="s">
        <v>338</v>
      </c>
      <c r="C26" s="119">
        <f>+C25</f>
        <v>22240875.039999999</v>
      </c>
      <c r="D26" s="119">
        <f t="shared" ref="D26:E26" si="6">+D25</f>
        <v>742399</v>
      </c>
      <c r="E26" s="119">
        <f t="shared" si="6"/>
        <v>-74593.5</v>
      </c>
      <c r="F26" s="119">
        <f>+C26+D26+E26</f>
        <v>22908680.539999999</v>
      </c>
    </row>
    <row r="27" spans="1:6" ht="13.5" hidden="1" customHeight="1" thickBot="1" x14ac:dyDescent="0.25">
      <c r="A27" s="128"/>
      <c r="B27" s="188"/>
      <c r="C27" s="119"/>
      <c r="D27" s="119"/>
      <c r="E27" s="119"/>
      <c r="F27" s="119"/>
    </row>
    <row r="28" spans="1:6" ht="13.5" hidden="1" customHeight="1" thickBot="1" x14ac:dyDescent="0.25">
      <c r="A28" s="127">
        <v>22600000</v>
      </c>
      <c r="B28" s="188" t="s">
        <v>339</v>
      </c>
      <c r="C28" s="119">
        <v>41532716.100000001</v>
      </c>
      <c r="D28" s="119">
        <v>1664602.43</v>
      </c>
      <c r="E28" s="119">
        <v>-42015.77</v>
      </c>
      <c r="F28" s="119">
        <f>+C28+D28+E28</f>
        <v>43155302.759999998</v>
      </c>
    </row>
    <row r="29" spans="1:6" ht="13.5" thickBot="1" x14ac:dyDescent="0.25">
      <c r="A29" s="128"/>
      <c r="B29" s="188" t="s">
        <v>339</v>
      </c>
      <c r="C29" s="119">
        <f>+C28</f>
        <v>41532716.100000001</v>
      </c>
      <c r="D29" s="119">
        <f t="shared" ref="D29:E29" si="7">+D28</f>
        <v>1664602.43</v>
      </c>
      <c r="E29" s="119">
        <f t="shared" si="7"/>
        <v>-42015.77</v>
      </c>
      <c r="F29" s="119">
        <f>+C29+D29+E29</f>
        <v>43155302.759999998</v>
      </c>
    </row>
    <row r="30" spans="1:6" ht="13.5" hidden="1" customHeight="1" thickBot="1" x14ac:dyDescent="0.25">
      <c r="A30" s="128"/>
      <c r="B30" s="188"/>
      <c r="C30" s="119"/>
      <c r="D30" s="119"/>
      <c r="E30" s="119"/>
      <c r="F30" s="119"/>
    </row>
    <row r="31" spans="1:6" ht="13.5" hidden="1" customHeight="1" thickBot="1" x14ac:dyDescent="0.25">
      <c r="A31" s="127">
        <v>22700000</v>
      </c>
      <c r="B31" s="188" t="s">
        <v>340</v>
      </c>
      <c r="C31" s="119">
        <v>82888750.849999994</v>
      </c>
      <c r="D31" s="119">
        <v>3115203.96</v>
      </c>
      <c r="E31" s="119">
        <v>-598423.21</v>
      </c>
      <c r="F31" s="119">
        <f>+C31+D31+E31</f>
        <v>85405531.599999994</v>
      </c>
    </row>
    <row r="32" spans="1:6" ht="23.25" thickBot="1" x14ac:dyDescent="0.25">
      <c r="A32" s="128"/>
      <c r="B32" s="190" t="s">
        <v>341</v>
      </c>
      <c r="C32" s="119">
        <f>+C31</f>
        <v>82888750.849999994</v>
      </c>
      <c r="D32" s="119">
        <f t="shared" ref="D32:E32" si="8">+D31</f>
        <v>3115203.96</v>
      </c>
      <c r="E32" s="119">
        <f t="shared" si="8"/>
        <v>-598423.21</v>
      </c>
      <c r="F32" s="119">
        <f>+C32+D32+E32</f>
        <v>85405531.599999994</v>
      </c>
    </row>
    <row r="33" spans="1:6" ht="13.5" hidden="1" customHeight="1" thickBot="1" x14ac:dyDescent="0.25">
      <c r="A33" s="128"/>
      <c r="B33" s="188"/>
      <c r="C33" s="119"/>
      <c r="D33" s="119"/>
      <c r="E33" s="119"/>
      <c r="F33" s="119"/>
    </row>
    <row r="34" spans="1:6" ht="13.5" hidden="1" customHeight="1" thickBot="1" x14ac:dyDescent="0.25">
      <c r="A34" s="127">
        <v>22800000</v>
      </c>
      <c r="B34" s="188" t="s">
        <v>342</v>
      </c>
      <c r="C34" s="119">
        <v>795510.37</v>
      </c>
      <c r="D34" s="119"/>
      <c r="E34" s="119"/>
      <c r="F34" s="119">
        <f>+C34+D34+E34</f>
        <v>795510.37</v>
      </c>
    </row>
    <row r="35" spans="1:6" ht="13.5" thickBot="1" x14ac:dyDescent="0.25">
      <c r="A35" s="128"/>
      <c r="B35" s="188" t="s">
        <v>343</v>
      </c>
      <c r="C35" s="119">
        <f>+C34</f>
        <v>795510.37</v>
      </c>
      <c r="D35" s="119">
        <f t="shared" ref="D35:E35" si="9">+D34</f>
        <v>0</v>
      </c>
      <c r="E35" s="119">
        <f t="shared" si="9"/>
        <v>0</v>
      </c>
      <c r="F35" s="119">
        <f>+C35+D35+E35</f>
        <v>795510.37</v>
      </c>
    </row>
    <row r="36" spans="1:6" ht="13.5" hidden="1" customHeight="1" thickBot="1" x14ac:dyDescent="0.25">
      <c r="A36" s="128"/>
      <c r="B36" s="188"/>
      <c r="C36" s="119"/>
      <c r="D36" s="119"/>
      <c r="E36" s="119"/>
      <c r="F36" s="119"/>
    </row>
    <row r="37" spans="1:6" ht="13.5" hidden="1" customHeight="1" thickBot="1" x14ac:dyDescent="0.25">
      <c r="A37" s="127">
        <v>23100000</v>
      </c>
      <c r="B37" s="188" t="s">
        <v>344</v>
      </c>
      <c r="C37" s="119">
        <v>32451058.050000001</v>
      </c>
      <c r="D37" s="119">
        <v>30566358.789999999</v>
      </c>
      <c r="E37" s="119">
        <v>-5393065.0800000001</v>
      </c>
      <c r="F37" s="119">
        <f>+C37+D37+E37</f>
        <v>57624351.760000005</v>
      </c>
    </row>
    <row r="38" spans="1:6" ht="13.5" thickBot="1" x14ac:dyDescent="0.25">
      <c r="A38" s="128"/>
      <c r="B38" s="188" t="s">
        <v>345</v>
      </c>
      <c r="C38" s="119">
        <f>+C37</f>
        <v>32451058.050000001</v>
      </c>
      <c r="D38" s="119">
        <f t="shared" ref="D38:E38" si="10">+D37</f>
        <v>30566358.789999999</v>
      </c>
      <c r="E38" s="119">
        <f t="shared" si="10"/>
        <v>-5393065.0800000001</v>
      </c>
      <c r="F38" s="119">
        <f>+C38+D38+E38</f>
        <v>57624351.760000005</v>
      </c>
    </row>
    <row r="39" spans="1:6" ht="13.5" thickBot="1" x14ac:dyDescent="0.25">
      <c r="A39" s="131"/>
      <c r="B39" s="191" t="s">
        <v>228</v>
      </c>
      <c r="C39" s="192">
        <f>+C7+C10+C13+C19+C23+C26+C29+C32+C35+C38</f>
        <v>2705697765.4099998</v>
      </c>
      <c r="D39" s="192">
        <f t="shared" ref="D39:F39" si="11">+D7+D10+D13+D19+D23+D26+D29+D32+D35+D38</f>
        <v>49345360.25</v>
      </c>
      <c r="E39" s="192">
        <f t="shared" si="11"/>
        <v>-6409952.5899999999</v>
      </c>
      <c r="F39" s="192">
        <f t="shared" si="11"/>
        <v>2748633173.0700006</v>
      </c>
    </row>
    <row r="40" spans="1:6" x14ac:dyDescent="0.2">
      <c r="B40" s="185"/>
      <c r="C40" s="185"/>
      <c r="D40" s="185"/>
      <c r="E40" s="185"/>
      <c r="F40" s="185"/>
    </row>
    <row r="41" spans="1:6" ht="13.5" thickBot="1" x14ac:dyDescent="0.25">
      <c r="B41" s="185"/>
      <c r="C41" s="185"/>
      <c r="D41" s="185"/>
      <c r="E41" s="185"/>
      <c r="F41" s="185"/>
    </row>
    <row r="42" spans="1:6" ht="13.5" thickBot="1" x14ac:dyDescent="0.25">
      <c r="A42" s="132"/>
      <c r="B42" s="232" t="s">
        <v>346</v>
      </c>
      <c r="C42" s="232"/>
      <c r="D42" s="232"/>
      <c r="E42" s="232"/>
      <c r="F42" s="232"/>
    </row>
    <row r="43" spans="1:6" ht="13.5" thickBot="1" x14ac:dyDescent="0.25">
      <c r="A43" s="133" t="s">
        <v>363</v>
      </c>
      <c r="B43" s="186" t="s">
        <v>327</v>
      </c>
      <c r="C43" s="186" t="s">
        <v>391</v>
      </c>
      <c r="D43" s="186" t="s">
        <v>392</v>
      </c>
      <c r="E43" s="186" t="s">
        <v>393</v>
      </c>
      <c r="F43" s="187" t="s">
        <v>394</v>
      </c>
    </row>
    <row r="44" spans="1:6" ht="12.75" hidden="1" customHeight="1" thickBot="1" x14ac:dyDescent="0.25">
      <c r="A44" s="134">
        <v>28210000</v>
      </c>
      <c r="B44" s="193" t="s">
        <v>347</v>
      </c>
      <c r="C44" s="120">
        <v>38629733.710000001</v>
      </c>
      <c r="D44" s="194">
        <v>3177005.67</v>
      </c>
      <c r="E44" s="120">
        <v>0</v>
      </c>
      <c r="F44" s="121">
        <f>+C44+D44+E44</f>
        <v>41806739.380000003</v>
      </c>
    </row>
    <row r="45" spans="1:6" ht="12.75" hidden="1" customHeight="1" thickBot="1" x14ac:dyDescent="0.25">
      <c r="A45" s="134">
        <v>28210001</v>
      </c>
      <c r="B45" s="195" t="s">
        <v>348</v>
      </c>
      <c r="C45" s="120">
        <v>529692155.14999998</v>
      </c>
      <c r="D45" s="120">
        <v>8218593.3700000001</v>
      </c>
      <c r="E45" s="120">
        <v>0</v>
      </c>
      <c r="F45" s="121">
        <f t="shared" ref="F45:F46" si="12">+C45+D45+E45</f>
        <v>537910748.51999998</v>
      </c>
    </row>
    <row r="46" spans="1:6" ht="12.75" hidden="1" customHeight="1" thickBot="1" x14ac:dyDescent="0.25">
      <c r="A46" s="134">
        <v>28210002</v>
      </c>
      <c r="B46" s="195" t="s">
        <v>349</v>
      </c>
      <c r="C46" s="120">
        <v>15095.31</v>
      </c>
      <c r="D46" s="120"/>
      <c r="E46" s="120">
        <v>0</v>
      </c>
      <c r="F46" s="121">
        <f t="shared" si="12"/>
        <v>15095.31</v>
      </c>
    </row>
    <row r="47" spans="1:6" ht="13.5" thickBot="1" x14ac:dyDescent="0.25">
      <c r="A47" s="134"/>
      <c r="B47" s="188" t="s">
        <v>329</v>
      </c>
      <c r="C47" s="119">
        <f>+C44+C45+C46</f>
        <v>568336984.16999996</v>
      </c>
      <c r="D47" s="119">
        <f t="shared" ref="D47:E47" si="13">+D44+D45+D46</f>
        <v>11395599.039999999</v>
      </c>
      <c r="E47" s="119">
        <f t="shared" si="13"/>
        <v>0</v>
      </c>
      <c r="F47" s="119">
        <f>+F44+F45+F46</f>
        <v>579732583.20999992</v>
      </c>
    </row>
    <row r="48" spans="1:6" s="123" customFormat="1" ht="12.75" hidden="1" customHeight="1" thickBot="1" x14ac:dyDescent="0.25">
      <c r="A48" s="134">
        <v>28220000</v>
      </c>
      <c r="B48" s="188" t="s">
        <v>350</v>
      </c>
      <c r="C48" s="119">
        <v>7035684.54</v>
      </c>
      <c r="D48" s="196">
        <v>408242.28</v>
      </c>
      <c r="E48" s="119">
        <v>-14963.57</v>
      </c>
      <c r="F48" s="119">
        <f>+C48+D48+E48</f>
        <v>7428963.25</v>
      </c>
    </row>
    <row r="49" spans="1:6" s="123" customFormat="1" ht="12.75" hidden="1" customHeight="1" thickBot="1" x14ac:dyDescent="0.25">
      <c r="A49" s="134">
        <v>28220001</v>
      </c>
      <c r="B49" s="188" t="s">
        <v>351</v>
      </c>
      <c r="C49" s="119">
        <v>20584500.68</v>
      </c>
      <c r="D49" s="119"/>
      <c r="E49" s="119"/>
      <c r="F49" s="119">
        <f t="shared" ref="F49:F50" si="14">+C49+D49+E49</f>
        <v>20584500.68</v>
      </c>
    </row>
    <row r="50" spans="1:6" s="123" customFormat="1" ht="13.5" thickBot="1" x14ac:dyDescent="0.25">
      <c r="A50" s="134"/>
      <c r="B50" s="188" t="s">
        <v>335</v>
      </c>
      <c r="C50" s="119">
        <f>+C48+C49</f>
        <v>27620185.219999999</v>
      </c>
      <c r="D50" s="119">
        <f t="shared" ref="D50:E50" si="15">+D48+D49</f>
        <v>408242.28</v>
      </c>
      <c r="E50" s="119">
        <f t="shared" si="15"/>
        <v>-14963.57</v>
      </c>
      <c r="F50" s="119">
        <f t="shared" si="14"/>
        <v>28013463.93</v>
      </c>
    </row>
    <row r="51" spans="1:6" s="123" customFormat="1" ht="12.75" hidden="1" customHeight="1" thickBot="1" x14ac:dyDescent="0.25">
      <c r="A51" s="134"/>
      <c r="B51" s="188"/>
      <c r="C51" s="119"/>
      <c r="D51" s="119"/>
      <c r="E51" s="119"/>
      <c r="F51" s="119"/>
    </row>
    <row r="52" spans="1:6" s="123" customFormat="1" ht="12.75" hidden="1" customHeight="1" thickBot="1" x14ac:dyDescent="0.25">
      <c r="A52" s="134">
        <v>28230000</v>
      </c>
      <c r="B52" s="188" t="s">
        <v>352</v>
      </c>
      <c r="C52" s="119">
        <v>69526977.920000002</v>
      </c>
      <c r="D52" s="196">
        <v>5052687.8499999996</v>
      </c>
      <c r="E52" s="119">
        <v>-266906.09999999998</v>
      </c>
      <c r="F52" s="119">
        <f>+C52+D52+E52</f>
        <v>74312759.670000002</v>
      </c>
    </row>
    <row r="53" spans="1:6" s="123" customFormat="1" ht="13.5" thickBot="1" x14ac:dyDescent="0.25">
      <c r="A53" s="134"/>
      <c r="B53" s="188" t="s">
        <v>336</v>
      </c>
      <c r="C53" s="119">
        <f>+C52</f>
        <v>69526977.920000002</v>
      </c>
      <c r="D53" s="119">
        <f t="shared" ref="D53:E53" si="16">+D52</f>
        <v>5052687.8499999996</v>
      </c>
      <c r="E53" s="119">
        <f t="shared" si="16"/>
        <v>-266906.09999999998</v>
      </c>
      <c r="F53" s="119">
        <f>+C53+D53+E53</f>
        <v>74312759.670000002</v>
      </c>
    </row>
    <row r="54" spans="1:6" s="123" customFormat="1" ht="12.75" hidden="1" customHeight="1" thickBot="1" x14ac:dyDescent="0.25">
      <c r="A54" s="134"/>
      <c r="B54" s="188"/>
      <c r="C54" s="119"/>
      <c r="D54" s="119"/>
      <c r="E54" s="119"/>
      <c r="F54" s="119"/>
    </row>
    <row r="55" spans="1:6" s="123" customFormat="1" ht="12.75" hidden="1" customHeight="1" thickBot="1" x14ac:dyDescent="0.25">
      <c r="A55" s="134">
        <v>28240000</v>
      </c>
      <c r="B55" s="188" t="s">
        <v>353</v>
      </c>
      <c r="C55" s="119">
        <v>20390013.800000001</v>
      </c>
      <c r="D55" s="119">
        <v>676629.24</v>
      </c>
      <c r="E55" s="119">
        <v>-73525.259999999995</v>
      </c>
      <c r="F55" s="119">
        <f>+C55+D55+E55</f>
        <v>20993117.779999997</v>
      </c>
    </row>
    <row r="56" spans="1:6" s="123" customFormat="1" ht="13.5" thickBot="1" x14ac:dyDescent="0.25">
      <c r="A56" s="134"/>
      <c r="B56" s="188" t="s">
        <v>338</v>
      </c>
      <c r="C56" s="119">
        <f>+C55</f>
        <v>20390013.800000001</v>
      </c>
      <c r="D56" s="119">
        <f t="shared" ref="D56:E56" si="17">+D55</f>
        <v>676629.24</v>
      </c>
      <c r="E56" s="119">
        <f t="shared" si="17"/>
        <v>-73525.259999999995</v>
      </c>
      <c r="F56" s="119">
        <f>+C56+D56+E56</f>
        <v>20993117.779999997</v>
      </c>
    </row>
    <row r="57" spans="1:6" s="123" customFormat="1" ht="12.75" hidden="1" customHeight="1" thickBot="1" x14ac:dyDescent="0.25">
      <c r="A57" s="134"/>
      <c r="B57" s="188"/>
      <c r="C57" s="119"/>
      <c r="D57" s="119"/>
      <c r="E57" s="119"/>
      <c r="F57" s="119"/>
    </row>
    <row r="58" spans="1:6" s="123" customFormat="1" ht="12.75" hidden="1" customHeight="1" thickBot="1" x14ac:dyDescent="0.25">
      <c r="A58" s="134">
        <v>28260000</v>
      </c>
      <c r="B58" s="188" t="s">
        <v>354</v>
      </c>
      <c r="C58" s="119">
        <v>30810163.77</v>
      </c>
      <c r="D58" s="196">
        <v>1860304</v>
      </c>
      <c r="E58" s="119">
        <v>-35120.78</v>
      </c>
      <c r="F58" s="119">
        <f>+C58+D58+E58</f>
        <v>32635346.989999998</v>
      </c>
    </row>
    <row r="59" spans="1:6" s="123" customFormat="1" ht="13.5" thickBot="1" x14ac:dyDescent="0.25">
      <c r="A59" s="134"/>
      <c r="B59" s="188" t="s">
        <v>339</v>
      </c>
      <c r="C59" s="119">
        <f>+C58</f>
        <v>30810163.77</v>
      </c>
      <c r="D59" s="119">
        <f t="shared" ref="D59:E59" si="18">+D58</f>
        <v>1860304</v>
      </c>
      <c r="E59" s="119">
        <f t="shared" si="18"/>
        <v>-35120.78</v>
      </c>
      <c r="F59" s="119">
        <f>+C59+D59+E59</f>
        <v>32635346.989999998</v>
      </c>
    </row>
    <row r="60" spans="1:6" s="123" customFormat="1" ht="12.75" hidden="1" customHeight="1" thickBot="1" x14ac:dyDescent="0.25">
      <c r="A60" s="134"/>
      <c r="B60" s="188"/>
      <c r="C60" s="119"/>
      <c r="D60" s="119"/>
      <c r="E60" s="119"/>
      <c r="F60" s="119"/>
    </row>
    <row r="61" spans="1:6" s="123" customFormat="1" ht="12.75" hidden="1" customHeight="1" thickBot="1" x14ac:dyDescent="0.25">
      <c r="A61" s="134">
        <v>28270000</v>
      </c>
      <c r="B61" s="188" t="s">
        <v>355</v>
      </c>
      <c r="C61" s="119">
        <v>70009684.510000005</v>
      </c>
      <c r="D61" s="196">
        <v>6542044.2300000004</v>
      </c>
      <c r="E61" s="119">
        <v>-591770.29</v>
      </c>
      <c r="F61" s="119">
        <f>+C61+D61+E61</f>
        <v>75959958.450000003</v>
      </c>
    </row>
    <row r="62" spans="1:6" s="123" customFormat="1" ht="23.25" thickBot="1" x14ac:dyDescent="0.25">
      <c r="A62" s="134"/>
      <c r="B62" s="197" t="s">
        <v>341</v>
      </c>
      <c r="C62" s="119">
        <f>+C61</f>
        <v>70009684.510000005</v>
      </c>
      <c r="D62" s="119">
        <f t="shared" ref="D62:E62" si="19">+D61</f>
        <v>6542044.2300000004</v>
      </c>
      <c r="E62" s="119">
        <f t="shared" si="19"/>
        <v>-591770.29</v>
      </c>
      <c r="F62" s="119">
        <f>+C62+D62+E62</f>
        <v>75959958.450000003</v>
      </c>
    </row>
    <row r="63" spans="1:6" s="123" customFormat="1" ht="12.75" hidden="1" customHeight="1" thickBot="1" x14ac:dyDescent="0.25">
      <c r="A63" s="134"/>
      <c r="B63" s="188"/>
      <c r="C63" s="119"/>
      <c r="D63" s="119"/>
      <c r="E63" s="119"/>
      <c r="F63" s="119"/>
    </row>
    <row r="64" spans="1:6" s="123" customFormat="1" ht="12.75" hidden="1" customHeight="1" thickBot="1" x14ac:dyDescent="0.25">
      <c r="A64" s="134">
        <v>28280000</v>
      </c>
      <c r="B64" s="188" t="s">
        <v>356</v>
      </c>
      <c r="C64" s="119">
        <v>383188.46</v>
      </c>
      <c r="D64" s="119">
        <v>59010.34</v>
      </c>
      <c r="E64" s="119">
        <v>0</v>
      </c>
      <c r="F64" s="119">
        <f>+C64+D64+E64</f>
        <v>442198.80000000005</v>
      </c>
    </row>
    <row r="65" spans="1:6" s="123" customFormat="1" ht="12.75" customHeight="1" thickBot="1" x14ac:dyDescent="0.25">
      <c r="A65" s="134"/>
      <c r="B65" s="188" t="s">
        <v>343</v>
      </c>
      <c r="C65" s="119">
        <f>+C64</f>
        <v>383188.46</v>
      </c>
      <c r="D65" s="119">
        <f t="shared" ref="D65:E65" si="20">+D64</f>
        <v>59010.34</v>
      </c>
      <c r="E65" s="119">
        <f t="shared" si="20"/>
        <v>0</v>
      </c>
      <c r="F65" s="119">
        <f>+C65+D65+E65</f>
        <v>442198.80000000005</v>
      </c>
    </row>
    <row r="66" spans="1:6" s="123" customFormat="1" ht="13.5" thickBot="1" x14ac:dyDescent="0.25">
      <c r="A66" s="135"/>
      <c r="B66" s="191" t="s">
        <v>228</v>
      </c>
      <c r="C66" s="192">
        <f>+C47+C50+C53+C56+C59+C62+C65</f>
        <v>787077197.8499999</v>
      </c>
      <c r="D66" s="192">
        <f t="shared" ref="D66:F66" si="21">+D47+D50+D53+D56+D59+D62+D65</f>
        <v>25994516.979999997</v>
      </c>
      <c r="E66" s="192">
        <f t="shared" si="21"/>
        <v>-982286</v>
      </c>
      <c r="F66" s="192">
        <f t="shared" si="21"/>
        <v>812089428.8299998</v>
      </c>
    </row>
    <row r="67" spans="1:6" s="123" customFormat="1" x14ac:dyDescent="0.2">
      <c r="A67" s="57"/>
      <c r="B67" s="185"/>
      <c r="C67" s="185"/>
      <c r="D67" s="198"/>
      <c r="E67" s="185"/>
      <c r="F67" s="185"/>
    </row>
    <row r="68" spans="1:6" s="123" customFormat="1" ht="17.25" customHeight="1" thickBot="1" x14ac:dyDescent="0.25">
      <c r="A68" s="57"/>
      <c r="B68" s="185"/>
      <c r="C68" s="185"/>
      <c r="D68" s="185"/>
      <c r="E68" s="185"/>
      <c r="F68" s="185"/>
    </row>
    <row r="69" spans="1:6" s="123" customFormat="1" ht="17.25" thickTop="1" thickBot="1" x14ac:dyDescent="0.3">
      <c r="A69" s="136"/>
      <c r="B69" s="232" t="s">
        <v>357</v>
      </c>
      <c r="C69" s="232"/>
      <c r="D69" s="232"/>
      <c r="E69" s="232"/>
      <c r="F69" s="232"/>
    </row>
    <row r="70" spans="1:6" s="123" customFormat="1" ht="36.75" thickBot="1" x14ac:dyDescent="0.25">
      <c r="A70" s="137" t="s">
        <v>363</v>
      </c>
      <c r="B70" s="186" t="s">
        <v>327</v>
      </c>
      <c r="C70" s="187" t="s">
        <v>395</v>
      </c>
      <c r="D70" s="187" t="s">
        <v>358</v>
      </c>
      <c r="E70" s="187" t="s">
        <v>396</v>
      </c>
      <c r="F70" s="187" t="s">
        <v>397</v>
      </c>
    </row>
    <row r="71" spans="1:6" s="123" customFormat="1" ht="13.5" thickBot="1" x14ac:dyDescent="0.25">
      <c r="A71" s="138"/>
      <c r="B71" s="188" t="s">
        <v>328</v>
      </c>
      <c r="C71" s="119">
        <f>F7</f>
        <v>1382477082.46</v>
      </c>
      <c r="D71" s="119">
        <v>0</v>
      </c>
      <c r="E71" s="119">
        <v>0</v>
      </c>
      <c r="F71" s="119">
        <f>+C71-E71</f>
        <v>1382477082.46</v>
      </c>
    </row>
    <row r="72" spans="1:6" s="123" customFormat="1" ht="13.5" thickBot="1" x14ac:dyDescent="0.25">
      <c r="A72" s="138"/>
      <c r="B72" s="188" t="s">
        <v>329</v>
      </c>
      <c r="C72" s="119">
        <f>F10</f>
        <v>1022467953.05</v>
      </c>
      <c r="D72" s="119">
        <f>D47</f>
        <v>11395599.039999999</v>
      </c>
      <c r="E72" s="119">
        <f>F47</f>
        <v>579732583.20999992</v>
      </c>
      <c r="F72" s="119">
        <f t="shared" ref="F72:F80" si="22">+C72-E72</f>
        <v>442735369.84000003</v>
      </c>
    </row>
    <row r="73" spans="1:6" s="123" customFormat="1" ht="13.5" thickBot="1" x14ac:dyDescent="0.25">
      <c r="A73" s="138"/>
      <c r="B73" s="188" t="s">
        <v>332</v>
      </c>
      <c r="C73" s="119">
        <f>F13</f>
        <v>1060267.79</v>
      </c>
      <c r="D73" s="119">
        <v>0</v>
      </c>
      <c r="E73" s="119">
        <v>0</v>
      </c>
      <c r="F73" s="119">
        <f t="shared" si="22"/>
        <v>1060267.79</v>
      </c>
    </row>
    <row r="74" spans="1:6" s="123" customFormat="1" ht="13.5" thickBot="1" x14ac:dyDescent="0.25">
      <c r="A74" s="138"/>
      <c r="B74" s="188" t="s">
        <v>335</v>
      </c>
      <c r="C74" s="119">
        <f>F19</f>
        <v>30090179.550000001</v>
      </c>
      <c r="D74" s="119">
        <f>D50</f>
        <v>408242.28</v>
      </c>
      <c r="E74" s="119">
        <f>F50</f>
        <v>28013463.93</v>
      </c>
      <c r="F74" s="119">
        <f t="shared" si="22"/>
        <v>2076715.620000001</v>
      </c>
    </row>
    <row r="75" spans="1:6" s="123" customFormat="1" ht="13.5" thickBot="1" x14ac:dyDescent="0.25">
      <c r="A75" s="138"/>
      <c r="B75" s="188" t="s">
        <v>336</v>
      </c>
      <c r="C75" s="119">
        <f>F23</f>
        <v>102648313.19</v>
      </c>
      <c r="D75" s="119">
        <f>D53</f>
        <v>5052687.8499999996</v>
      </c>
      <c r="E75" s="119">
        <f>F53</f>
        <v>74312759.670000002</v>
      </c>
      <c r="F75" s="119">
        <f t="shared" si="22"/>
        <v>28335553.519999996</v>
      </c>
    </row>
    <row r="76" spans="1:6" s="123" customFormat="1" ht="13.5" thickBot="1" x14ac:dyDescent="0.25">
      <c r="A76" s="138"/>
      <c r="B76" s="188" t="s">
        <v>338</v>
      </c>
      <c r="C76" s="119">
        <f>F26</f>
        <v>22908680.539999999</v>
      </c>
      <c r="D76" s="119">
        <f>D56</f>
        <v>676629.24</v>
      </c>
      <c r="E76" s="119">
        <f>F56</f>
        <v>20993117.779999997</v>
      </c>
      <c r="F76" s="119">
        <f t="shared" si="22"/>
        <v>1915562.7600000016</v>
      </c>
    </row>
    <row r="77" spans="1:6" s="123" customFormat="1" ht="13.5" thickBot="1" x14ac:dyDescent="0.25">
      <c r="A77" s="138"/>
      <c r="B77" s="188" t="s">
        <v>339</v>
      </c>
      <c r="C77" s="119">
        <f>F29</f>
        <v>43155302.759999998</v>
      </c>
      <c r="D77" s="119">
        <f>D59</f>
        <v>1860304</v>
      </c>
      <c r="E77" s="119">
        <f>F59</f>
        <v>32635346.989999998</v>
      </c>
      <c r="F77" s="119">
        <f t="shared" si="22"/>
        <v>10519955.77</v>
      </c>
    </row>
    <row r="78" spans="1:6" s="123" customFormat="1" ht="23.25" thickBot="1" x14ac:dyDescent="0.25">
      <c r="A78" s="138"/>
      <c r="B78" s="197" t="s">
        <v>341</v>
      </c>
      <c r="C78" s="119">
        <f>F32</f>
        <v>85405531.599999994</v>
      </c>
      <c r="D78" s="119">
        <f>D62</f>
        <v>6542044.2300000004</v>
      </c>
      <c r="E78" s="119">
        <f>F62</f>
        <v>75959958.450000003</v>
      </c>
      <c r="F78" s="119">
        <f t="shared" si="22"/>
        <v>9445573.1499999911</v>
      </c>
    </row>
    <row r="79" spans="1:6" s="123" customFormat="1" ht="13.5" thickBot="1" x14ac:dyDescent="0.25">
      <c r="A79" s="138"/>
      <c r="B79" s="188" t="s">
        <v>343</v>
      </c>
      <c r="C79" s="119">
        <f>F35</f>
        <v>795510.37</v>
      </c>
      <c r="D79" s="119">
        <f>D65</f>
        <v>59010.34</v>
      </c>
      <c r="E79" s="119">
        <f>F65</f>
        <v>442198.80000000005</v>
      </c>
      <c r="F79" s="119">
        <f t="shared" si="22"/>
        <v>353311.56999999995</v>
      </c>
    </row>
    <row r="80" spans="1:6" s="123" customFormat="1" ht="13.5" thickBot="1" x14ac:dyDescent="0.25">
      <c r="A80" s="138"/>
      <c r="B80" s="188" t="s">
        <v>345</v>
      </c>
      <c r="C80" s="119">
        <f>F38</f>
        <v>57624351.760000005</v>
      </c>
      <c r="D80" s="119">
        <v>0</v>
      </c>
      <c r="E80" s="119">
        <v>0</v>
      </c>
      <c r="F80" s="119">
        <f t="shared" si="22"/>
        <v>57624351.760000005</v>
      </c>
    </row>
    <row r="81" spans="1:6" s="123" customFormat="1" ht="13.5" thickBot="1" x14ac:dyDescent="0.25">
      <c r="A81" s="139"/>
      <c r="B81" s="191" t="s">
        <v>228</v>
      </c>
      <c r="C81" s="192">
        <f>SUM(C71:C80)</f>
        <v>2748633173.0700006</v>
      </c>
      <c r="D81" s="192">
        <f>SUM(D71:D80)</f>
        <v>25994516.979999997</v>
      </c>
      <c r="E81" s="192">
        <f>SUM(E71:E80)</f>
        <v>812089428.8299998</v>
      </c>
      <c r="F81" s="192">
        <f>SUM(F71:F80)</f>
        <v>1936543744.24</v>
      </c>
    </row>
    <row r="82" spans="1:6" s="123" customFormat="1" ht="13.5" thickTop="1" x14ac:dyDescent="0.2">
      <c r="A82" s="57"/>
      <c r="B82" s="185"/>
      <c r="C82" s="185"/>
      <c r="D82" s="185"/>
      <c r="E82" s="185"/>
      <c r="F82" s="185"/>
    </row>
    <row r="83" spans="1:6" s="123" customFormat="1" ht="13.5" thickBot="1" x14ac:dyDescent="0.25">
      <c r="A83" s="57"/>
      <c r="B83" s="185"/>
      <c r="C83" s="185"/>
      <c r="D83" s="199"/>
      <c r="E83" s="185"/>
      <c r="F83" s="185"/>
    </row>
    <row r="84" spans="1:6" s="123" customFormat="1" ht="13.5" thickBot="1" x14ac:dyDescent="0.25">
      <c r="A84" s="57"/>
      <c r="B84" s="184"/>
      <c r="C84" s="233" t="s">
        <v>359</v>
      </c>
      <c r="D84" s="234"/>
      <c r="E84" s="235"/>
      <c r="F84" s="184"/>
    </row>
    <row r="85" spans="1:6" x14ac:dyDescent="0.2">
      <c r="B85" s="185"/>
      <c r="C85" s="185"/>
      <c r="D85" s="185"/>
      <c r="E85" s="185"/>
      <c r="F85" s="185"/>
    </row>
    <row r="86" spans="1:6" s="123" customFormat="1" ht="13.5" thickBot="1" x14ac:dyDescent="0.25">
      <c r="A86" s="57"/>
      <c r="B86" s="185"/>
      <c r="C86" s="185"/>
      <c r="D86" s="185"/>
      <c r="E86" s="185"/>
      <c r="F86" s="185"/>
    </row>
    <row r="87" spans="1:6" s="123" customFormat="1" ht="17.25" thickTop="1" thickBot="1" x14ac:dyDescent="0.3">
      <c r="A87" s="136"/>
      <c r="B87" s="232" t="s">
        <v>360</v>
      </c>
      <c r="C87" s="232"/>
      <c r="D87" s="232"/>
      <c r="E87" s="232"/>
      <c r="F87" s="232"/>
    </row>
    <row r="88" spans="1:6" s="123" customFormat="1" ht="13.5" thickBot="1" x14ac:dyDescent="0.25">
      <c r="A88" s="137" t="s">
        <v>363</v>
      </c>
      <c r="B88" s="186" t="s">
        <v>327</v>
      </c>
      <c r="C88" s="187" t="s">
        <v>391</v>
      </c>
      <c r="D88" s="187" t="s">
        <v>392</v>
      </c>
      <c r="E88" s="187" t="s">
        <v>393</v>
      </c>
      <c r="F88" s="187" t="s">
        <v>394</v>
      </c>
    </row>
    <row r="89" spans="1:6" s="123" customFormat="1" ht="13.5" thickBot="1" x14ac:dyDescent="0.25">
      <c r="A89" s="138">
        <v>21500000</v>
      </c>
      <c r="B89" s="188" t="s">
        <v>361</v>
      </c>
      <c r="C89" s="119">
        <v>8590976.5700000003</v>
      </c>
      <c r="D89" s="119">
        <v>33503.5</v>
      </c>
      <c r="E89" s="119">
        <v>-166.38</v>
      </c>
      <c r="F89" s="119">
        <f>+C89+D89+E89</f>
        <v>8624313.6899999995</v>
      </c>
    </row>
    <row r="90" spans="1:6" s="123" customFormat="1" ht="13.5" thickBot="1" x14ac:dyDescent="0.25">
      <c r="A90" s="138">
        <v>21000000</v>
      </c>
      <c r="B90" s="188" t="s">
        <v>362</v>
      </c>
      <c r="C90" s="119">
        <v>24037.24</v>
      </c>
      <c r="D90" s="119">
        <v>0</v>
      </c>
      <c r="E90" s="119">
        <v>0</v>
      </c>
      <c r="F90" s="119">
        <f>+C90+D90+E90</f>
        <v>24037.24</v>
      </c>
    </row>
    <row r="91" spans="1:6" s="123" customFormat="1" ht="13.5" thickBot="1" x14ac:dyDescent="0.25">
      <c r="A91" s="139"/>
      <c r="B91" s="191" t="s">
        <v>228</v>
      </c>
      <c r="C91" s="192">
        <f>+C89+C90</f>
        <v>8615013.8100000005</v>
      </c>
      <c r="D91" s="192">
        <f t="shared" ref="D91:E91" si="23">+D89+D90</f>
        <v>33503.5</v>
      </c>
      <c r="E91" s="192">
        <f t="shared" si="23"/>
        <v>-166.38</v>
      </c>
      <c r="F91" s="192">
        <f>SUM(F89:F90)</f>
        <v>8648350.9299999997</v>
      </c>
    </row>
    <row r="92" spans="1:6" s="123" customFormat="1" ht="13.5" thickTop="1" x14ac:dyDescent="0.2">
      <c r="A92" s="57"/>
      <c r="B92" s="185"/>
      <c r="C92" s="185"/>
      <c r="D92" s="185"/>
      <c r="E92" s="185"/>
      <c r="F92" s="185"/>
    </row>
    <row r="93" spans="1:6" s="123" customFormat="1" ht="13.5" thickBot="1" x14ac:dyDescent="0.25">
      <c r="A93" s="57"/>
      <c r="B93" s="185"/>
      <c r="C93" s="185"/>
      <c r="D93" s="185"/>
      <c r="E93" s="185"/>
      <c r="F93" s="185"/>
    </row>
    <row r="94" spans="1:6" s="123" customFormat="1" ht="17.25" thickTop="1" thickBot="1" x14ac:dyDescent="0.3">
      <c r="A94" s="136"/>
      <c r="B94" s="232" t="s">
        <v>346</v>
      </c>
      <c r="C94" s="232"/>
      <c r="D94" s="232"/>
      <c r="E94" s="232"/>
      <c r="F94" s="232"/>
    </row>
    <row r="95" spans="1:6" s="123" customFormat="1" ht="13.5" thickBot="1" x14ac:dyDescent="0.25">
      <c r="A95" s="137" t="s">
        <v>363</v>
      </c>
      <c r="B95" s="186" t="s">
        <v>327</v>
      </c>
      <c r="C95" s="187" t="s">
        <v>391</v>
      </c>
      <c r="D95" s="187" t="s">
        <v>392</v>
      </c>
      <c r="E95" s="187" t="s">
        <v>393</v>
      </c>
      <c r="F95" s="187" t="s">
        <v>394</v>
      </c>
    </row>
    <row r="96" spans="1:6" s="123" customFormat="1" ht="13.5" thickBot="1" x14ac:dyDescent="0.25">
      <c r="A96" s="138">
        <v>28150000</v>
      </c>
      <c r="B96" s="188" t="s">
        <v>361</v>
      </c>
      <c r="C96" s="119">
        <v>8430830.4800000004</v>
      </c>
      <c r="D96" s="119">
        <v>67382.41</v>
      </c>
      <c r="E96" s="119">
        <v>-166.38</v>
      </c>
      <c r="F96" s="119">
        <f>+C96+D96+E96</f>
        <v>8498046.5099999998</v>
      </c>
    </row>
    <row r="97" spans="1:6" s="123" customFormat="1" ht="13.5" thickBot="1" x14ac:dyDescent="0.25">
      <c r="A97" s="139"/>
      <c r="B97" s="191" t="s">
        <v>228</v>
      </c>
      <c r="C97" s="192">
        <f>+C96</f>
        <v>8430830.4800000004</v>
      </c>
      <c r="D97" s="192">
        <f t="shared" ref="D97:E97" si="24">+D96</f>
        <v>67382.41</v>
      </c>
      <c r="E97" s="192">
        <f t="shared" si="24"/>
        <v>-166.38</v>
      </c>
      <c r="F97" s="192">
        <f>+F96</f>
        <v>8498046.5099999998</v>
      </c>
    </row>
    <row r="98" spans="1:6" s="123" customFormat="1" ht="13.5" thickTop="1" x14ac:dyDescent="0.2">
      <c r="A98" s="57"/>
      <c r="B98" s="185"/>
      <c r="C98" s="185"/>
      <c r="D98" s="185"/>
      <c r="E98" s="185"/>
      <c r="F98" s="185"/>
    </row>
    <row r="99" spans="1:6" s="123" customFormat="1" ht="13.5" thickBot="1" x14ac:dyDescent="0.25">
      <c r="A99" s="57"/>
      <c r="B99" s="185"/>
      <c r="C99" s="185"/>
      <c r="D99" s="185"/>
      <c r="E99" s="185"/>
      <c r="F99" s="185"/>
    </row>
    <row r="100" spans="1:6" s="123" customFormat="1" ht="17.25" thickTop="1" thickBot="1" x14ac:dyDescent="0.3">
      <c r="A100" s="136"/>
      <c r="B100" s="232" t="s">
        <v>357</v>
      </c>
      <c r="C100" s="232"/>
      <c r="D100" s="232"/>
      <c r="E100" s="232"/>
      <c r="F100" s="232"/>
    </row>
    <row r="101" spans="1:6" s="123" customFormat="1" ht="36.75" thickBot="1" x14ac:dyDescent="0.25">
      <c r="A101" s="137" t="s">
        <v>363</v>
      </c>
      <c r="B101" s="186" t="s">
        <v>327</v>
      </c>
      <c r="C101" s="187" t="s">
        <v>395</v>
      </c>
      <c r="D101" s="187" t="s">
        <v>358</v>
      </c>
      <c r="E101" s="187" t="s">
        <v>398</v>
      </c>
      <c r="F101" s="187" t="s">
        <v>397</v>
      </c>
    </row>
    <row r="102" spans="1:6" s="123" customFormat="1" ht="13.5" thickBot="1" x14ac:dyDescent="0.25">
      <c r="A102" s="138"/>
      <c r="B102" s="188" t="s">
        <v>361</v>
      </c>
      <c r="C102" s="119">
        <v>8624313.6899999995</v>
      </c>
      <c r="D102" s="119">
        <v>67382.41</v>
      </c>
      <c r="E102" s="119">
        <v>8498046.5099999998</v>
      </c>
      <c r="F102" s="119">
        <f>+C102-E102</f>
        <v>126267.1799999997</v>
      </c>
    </row>
    <row r="103" spans="1:6" s="123" customFormat="1" ht="13.5" thickBot="1" x14ac:dyDescent="0.25">
      <c r="A103" s="138"/>
      <c r="B103" s="188" t="s">
        <v>362</v>
      </c>
      <c r="C103" s="119">
        <v>24037.24</v>
      </c>
      <c r="D103" s="119">
        <v>0</v>
      </c>
      <c r="E103" s="119">
        <v>0</v>
      </c>
      <c r="F103" s="119">
        <f>+C103-E103</f>
        <v>24037.24</v>
      </c>
    </row>
    <row r="104" spans="1:6" s="123" customFormat="1" ht="13.5" thickBot="1" x14ac:dyDescent="0.25">
      <c r="A104" s="139"/>
      <c r="B104" s="191" t="s">
        <v>228</v>
      </c>
      <c r="C104" s="192">
        <f>+C102+C103</f>
        <v>8648350.9299999997</v>
      </c>
      <c r="D104" s="192">
        <f t="shared" ref="D104:E104" si="25">+D102+D103</f>
        <v>67382.41</v>
      </c>
      <c r="E104" s="192">
        <f t="shared" si="25"/>
        <v>8498046.5099999998</v>
      </c>
      <c r="F104" s="192">
        <f>SUM(F102:F103)</f>
        <v>150304.41999999969</v>
      </c>
    </row>
    <row r="105" spans="1:6" s="123" customFormat="1" ht="13.5" thickTop="1" x14ac:dyDescent="0.2">
      <c r="A105" s="57"/>
      <c r="B105" s="185"/>
      <c r="C105" s="185"/>
      <c r="D105" s="185"/>
      <c r="E105" s="185"/>
      <c r="F105" s="185"/>
    </row>
    <row r="106" spans="1:6" x14ac:dyDescent="0.2">
      <c r="B106" s="185"/>
      <c r="C106" s="185"/>
      <c r="D106" s="185"/>
      <c r="E106" s="185"/>
      <c r="F106" s="185"/>
    </row>
    <row r="107" spans="1:6" x14ac:dyDescent="0.2">
      <c r="B107" s="185"/>
      <c r="C107" s="185"/>
      <c r="D107" s="185"/>
      <c r="E107" s="185"/>
      <c r="F107" s="185"/>
    </row>
    <row r="110" spans="1:6" x14ac:dyDescent="0.2">
      <c r="B110" s="122"/>
    </row>
    <row r="112" spans="1:6" x14ac:dyDescent="0.2">
      <c r="B112" s="200"/>
    </row>
  </sheetData>
  <mergeCells count="8">
    <mergeCell ref="B94:F94"/>
    <mergeCell ref="B100:F100"/>
    <mergeCell ref="C1:E1"/>
    <mergeCell ref="B5:F5"/>
    <mergeCell ref="B42:F42"/>
    <mergeCell ref="B69:F69"/>
    <mergeCell ref="C84:E84"/>
    <mergeCell ref="B87:F87"/>
  </mergeCells>
  <pageMargins left="0.7" right="0.7" top="0.75" bottom="0.75" header="0.3" footer="0.3"/>
  <pageSetup paperSize="9" orientation="landscape" r:id="rId1"/>
  <ignoredErrors>
    <ignoredError sqref="F47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82ea51b-b6c3-4e80-97f9-85709bc2427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2E15B5C5239A44E83F9A038B30A9CD0" ma:contentTypeVersion="12" ma:contentTypeDescription="Crear nuevo documento." ma:contentTypeScope="" ma:versionID="006813614942860e7a043e35f9b5d5e9">
  <xsd:schema xmlns:xsd="http://www.w3.org/2001/XMLSchema" xmlns:xs="http://www.w3.org/2001/XMLSchema" xmlns:p="http://schemas.microsoft.com/office/2006/metadata/properties" xmlns:ns3="582ea51b-b6c3-4e80-97f9-85709bc24275" targetNamespace="http://schemas.microsoft.com/office/2006/metadata/properties" ma:root="true" ma:fieldsID="74f763e9334fdab43359134c99100fe2" ns3:_="">
    <xsd:import namespace="582ea51b-b6c3-4e80-97f9-85709bc2427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SearchProperties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a51b-b6c3-4e80-97f9-85709bc242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3775F9-11CF-49F9-BF5F-2711233201D6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582ea51b-b6c3-4e80-97f9-85709bc24275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D07B0DB-397E-4B76-ADEB-048827226E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0453D8-D4A4-4E22-B284-33E09C984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2ea51b-b6c3-4e80-97f9-85709bc242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BALANCE individual 2024 </vt:lpstr>
      <vt:lpstr>CTA. RESULTADOS Individual 2024</vt:lpstr>
      <vt:lpstr>INDICADORES FROS Individua 2024</vt:lpstr>
      <vt:lpstr>INDICADORES PTOS Individua 2024</vt:lpstr>
      <vt:lpstr> PASIVOS FINANC.2024</vt:lpstr>
      <vt:lpstr>BALANCE Consolidado 2024</vt:lpstr>
      <vt:lpstr>CTA. RESULTADO Consolidada 2024</vt:lpstr>
      <vt:lpstr>Bienes muebles y derechos</vt:lpstr>
      <vt:lpstr>'INDICADORES PTOS Individua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BARANDA DIAZ</dc:creator>
  <cp:lastModifiedBy>CRISTINA RIOS MAURE</cp:lastModifiedBy>
  <dcterms:created xsi:type="dcterms:W3CDTF">2024-06-17T09:27:09Z</dcterms:created>
  <dcterms:modified xsi:type="dcterms:W3CDTF">2025-06-20T08:28:11Z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0x01010032E15B5C5239A44E83F9A038B30A9CD0</vt:lpwstr>
  </property>
</Properties>
</file>