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DAMUC-EDDY\ASAMBLEA GENERAL DICIEMBRE 2025\"/>
    </mc:Choice>
  </mc:AlternateContent>
  <xr:revisionPtr revIDLastSave="0" documentId="13_ncr:1_{D0CDA5D8-A5CF-40EE-8665-24223F36E40F}" xr6:coauthVersionLast="47" xr6:coauthVersionMax="47" xr10:uidLastSave="{00000000-0000-0000-0000-000000000000}"/>
  <bookViews>
    <workbookView xWindow="-120" yWindow="-120" windowWidth="29040" windowHeight="15720" xr2:uid="{23833F93-FB22-46E1-B6DB-17E77B6BC11A}"/>
  </bookViews>
  <sheets>
    <sheet name="BALANCE" sheetId="1" r:id="rId1"/>
    <sheet name="GASTOS" sheetId="2" r:id="rId2"/>
    <sheet name="INGRESOS" sheetId="3" r:id="rId3"/>
    <sheet name="PPTO 2024-2025" sheetId="4" r:id="rId4"/>
    <sheet name="PPTO 2025-2026" sheetId="5" r:id="rId5"/>
  </sheets>
  <externalReferences>
    <externalReference r:id="rId6"/>
    <externalReference r:id="rId7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6" i="1" l="1"/>
  <c r="E46" i="1" s="1"/>
  <c r="C16" i="2"/>
  <c r="J27" i="5"/>
  <c r="H27" i="5"/>
  <c r="C27" i="5"/>
  <c r="C16" i="5"/>
  <c r="C15" i="5"/>
  <c r="E14" i="5"/>
  <c r="C13" i="5"/>
  <c r="E11" i="5"/>
  <c r="E27" i="5" s="1"/>
  <c r="C10" i="5"/>
  <c r="C8" i="5"/>
  <c r="H28" i="4"/>
  <c r="D28" i="4"/>
  <c r="C28" i="4"/>
  <c r="I25" i="4"/>
  <c r="I24" i="4"/>
  <c r="I23" i="4"/>
  <c r="I22" i="4"/>
  <c r="I20" i="4"/>
  <c r="I19" i="4"/>
  <c r="I18" i="4"/>
  <c r="G17" i="4"/>
  <c r="I16" i="4"/>
  <c r="F16" i="4"/>
  <c r="G16" i="4" s="1"/>
  <c r="F15" i="4"/>
  <c r="G15" i="4" s="1"/>
  <c r="I14" i="4"/>
  <c r="F13" i="4"/>
  <c r="G13" i="4" s="1"/>
  <c r="I11" i="4"/>
  <c r="F10" i="4"/>
  <c r="G10" i="4" s="1"/>
  <c r="F8" i="4"/>
  <c r="E8" i="4"/>
  <c r="C46" i="3"/>
  <c r="D46" i="3" s="1"/>
  <c r="C45" i="3"/>
  <c r="B45" i="3"/>
  <c r="D45" i="3" s="1"/>
  <c r="B44" i="3"/>
  <c r="D44" i="3" s="1"/>
  <c r="B14" i="3" s="1"/>
  <c r="C43" i="3"/>
  <c r="B43" i="3"/>
  <c r="C42" i="3"/>
  <c r="B42" i="3"/>
  <c r="D42" i="3" s="1"/>
  <c r="B12" i="3" s="1"/>
  <c r="D41" i="3"/>
  <c r="B11" i="3" s="1"/>
  <c r="D40" i="3"/>
  <c r="B10" i="3" s="1"/>
  <c r="B32" i="3"/>
  <c r="B30" i="3"/>
  <c r="B28" i="3"/>
  <c r="B27" i="3"/>
  <c r="B26" i="3"/>
  <c r="B25" i="3"/>
  <c r="B24" i="3"/>
  <c r="B23" i="3"/>
  <c r="B22" i="3"/>
  <c r="B21" i="3"/>
  <c r="B20" i="3"/>
  <c r="B18" i="3"/>
  <c r="B9" i="3"/>
  <c r="B8" i="3"/>
  <c r="B5" i="3"/>
  <c r="B3" i="3"/>
  <c r="C2" i="3" s="1"/>
  <c r="D54" i="2"/>
  <c r="C52" i="2"/>
  <c r="B48" i="2"/>
  <c r="C47" i="2"/>
  <c r="B43" i="2"/>
  <c r="B37" i="2"/>
  <c r="B35" i="2"/>
  <c r="B34" i="2"/>
  <c r="B33" i="2"/>
  <c r="B32" i="2"/>
  <c r="B30" i="2"/>
  <c r="B29" i="2"/>
  <c r="B28" i="2"/>
  <c r="C41" i="2" s="1"/>
  <c r="B26" i="2"/>
  <c r="B25" i="2"/>
  <c r="B23" i="2"/>
  <c r="B22" i="2"/>
  <c r="B21" i="2"/>
  <c r="B20" i="2"/>
  <c r="B19" i="2"/>
  <c r="B18" i="2"/>
  <c r="C26" i="2" s="1"/>
  <c r="B13" i="2"/>
  <c r="B10" i="2"/>
  <c r="B9" i="2"/>
  <c r="B4" i="2"/>
  <c r="B3" i="2"/>
  <c r="E39" i="1"/>
  <c r="E32" i="1"/>
  <c r="C19" i="1"/>
  <c r="C10" i="1"/>
  <c r="F28" i="4" l="1"/>
  <c r="C22" i="1"/>
  <c r="E21" i="1" s="1"/>
  <c r="E19" i="1" s="1"/>
  <c r="D53" i="2"/>
  <c r="C47" i="3"/>
  <c r="D43" i="3"/>
  <c r="G8" i="4"/>
  <c r="D47" i="3"/>
  <c r="C4" i="3"/>
  <c r="C37" i="3" s="1"/>
  <c r="C36" i="3" s="1"/>
  <c r="B47" i="3"/>
  <c r="D55" i="2"/>
  <c r="B59" i="2" s="1"/>
  <c r="B60" i="2" s="1"/>
</calcChain>
</file>

<file path=xl/sharedStrings.xml><?xml version="1.0" encoding="utf-8"?>
<sst xmlns="http://schemas.openxmlformats.org/spreadsheetml/2006/main" count="217" uniqueCount="173">
  <si>
    <t>BALANCE A 31  DE AGOSTO DE 2025</t>
  </si>
  <si>
    <t>ADAMUC</t>
  </si>
  <si>
    <t>Curso 2024/2025</t>
  </si>
  <si>
    <t>HOJA-1</t>
  </si>
  <si>
    <t>DEBE</t>
  </si>
  <si>
    <t>HABER</t>
  </si>
  <si>
    <t>TESORERÍA</t>
  </si>
  <si>
    <t>CAJA</t>
  </si>
  <si>
    <t>Presidente</t>
  </si>
  <si>
    <t>Secretaria</t>
  </si>
  <si>
    <t>BANCOS</t>
  </si>
  <si>
    <t>CAIXABANK</t>
  </si>
  <si>
    <t>DEUDORES</t>
  </si>
  <si>
    <t>CUOTAS SOCIOS A</t>
  </si>
  <si>
    <t>COBRAR</t>
  </si>
  <si>
    <t>RESERVAS</t>
  </si>
  <si>
    <t>PROVISIONES</t>
  </si>
  <si>
    <t>CULTURA</t>
  </si>
  <si>
    <t>dotación La Flor 2023/2024</t>
  </si>
  <si>
    <t>ágape entrega premios La Flor 2024</t>
  </si>
  <si>
    <t>otras subvenciones</t>
  </si>
  <si>
    <t>grupo coral</t>
  </si>
  <si>
    <t>grupo teatro</t>
  </si>
  <si>
    <t>OTRAS PROVISIONES</t>
  </si>
  <si>
    <t>jornada hermandad/ágape socios</t>
  </si>
  <si>
    <t>remanente emergencias</t>
  </si>
  <si>
    <t>Museo del Prado</t>
  </si>
  <si>
    <t>excursión a Palencia</t>
  </si>
  <si>
    <t>visitas</t>
  </si>
  <si>
    <t>OTROS GASTOS FIJOS</t>
  </si>
  <si>
    <t>Seguros 2024/2025</t>
  </si>
  <si>
    <t>oficina</t>
  </si>
  <si>
    <t>comida navidad 2024+regalos</t>
  </si>
  <si>
    <t>promocion y publicidad 2024/2025</t>
  </si>
  <si>
    <t>otros gastos</t>
  </si>
  <si>
    <t>representación</t>
  </si>
  <si>
    <t>TOTALES</t>
  </si>
  <si>
    <t>PRESIDENTE</t>
  </si>
  <si>
    <t>TESORERO</t>
  </si>
  <si>
    <t xml:space="preserve"> GASTOS ADAMUC curso 2024/25</t>
  </si>
  <si>
    <t>A 31/08/2025</t>
  </si>
  <si>
    <t>VISITAS</t>
  </si>
  <si>
    <t>HOJA-3</t>
  </si>
  <si>
    <t>Museo del Prado (Pertenecen al curso 2025/2026)</t>
  </si>
  <si>
    <t>Bellas Artes</t>
  </si>
  <si>
    <t>Visita guardia real el pardo 04/11/2024</t>
  </si>
  <si>
    <t>Colecciones Reales (guía)</t>
  </si>
  <si>
    <t>Museo Reina Sofía</t>
  </si>
  <si>
    <t>Museo Sorolla</t>
  </si>
  <si>
    <t>paseando por madrid</t>
  </si>
  <si>
    <t>visita museo del aire y del espacio</t>
  </si>
  <si>
    <t>visita los jerónimos guía y pinganillos</t>
  </si>
  <si>
    <t>zarzuelas</t>
  </si>
  <si>
    <t>museo lázaro galdiano</t>
  </si>
  <si>
    <t>devolución excursión S.Esteban de Gormaz</t>
  </si>
  <si>
    <t>devolución excursión bonilla</t>
  </si>
  <si>
    <t>GASTOS DE OFICINA</t>
  </si>
  <si>
    <t>devoluciónes (socios+comida navidad)</t>
  </si>
  <si>
    <t>gastos bancarios+ mant. bca digital. curso 2024/2025</t>
  </si>
  <si>
    <t>impresora boletín + altavoz</t>
  </si>
  <si>
    <t>informática,ftcps, tinta, papel imp., libro caja</t>
  </si>
  <si>
    <t>gastos de Juntas y Asambleas (envío cartas asamblea)</t>
  </si>
  <si>
    <t>gastos Secretaría</t>
  </si>
  <si>
    <t>apartado de correos</t>
  </si>
  <si>
    <t xml:space="preserve">gastos comida junta </t>
  </si>
  <si>
    <t>gastos presidenta (aparcam. …)+taxi+ tinta</t>
  </si>
  <si>
    <t>GASTOS DE REPRESENTACION</t>
  </si>
  <si>
    <t>grupo teatro (mesita)</t>
  </si>
  <si>
    <t>comida navidad 2024 (104 menús)</t>
  </si>
  <si>
    <t>coro (fotocopias, directora)</t>
  </si>
  <si>
    <t>obsequio a socios</t>
  </si>
  <si>
    <t>cuota Caumas (2024 y 2025)</t>
  </si>
  <si>
    <t>teléfonos Presidenta- Secretaria+accesorios</t>
  </si>
  <si>
    <t xml:space="preserve">Jornadas de Asociaciones </t>
  </si>
  <si>
    <t>Jornadas de Asociaciones (pertenecen al curso 2025/2026)</t>
  </si>
  <si>
    <t>artículos de promoción/publicidad</t>
  </si>
  <si>
    <t>regalos homenaje (placas agradecimiento)</t>
  </si>
  <si>
    <t>cuota anual (pertenecen al curso 2025/2026)</t>
  </si>
  <si>
    <t>pago duplicado paraguas</t>
  </si>
  <si>
    <t>PREMIOS CULTURALES</t>
  </si>
  <si>
    <t>La Flor de Adamuc (premios + gastos)</t>
  </si>
  <si>
    <t>gastos referidos a certámenes culturales</t>
  </si>
  <si>
    <t>ágape la flor de adamuc</t>
  </si>
  <si>
    <t>VARIOS</t>
  </si>
  <si>
    <t>seminario mexico (desplazam, certificados asistencia)</t>
  </si>
  <si>
    <t>seguro responsabilidad civil Mapfre</t>
  </si>
  <si>
    <t>corona funeral gerardo</t>
  </si>
  <si>
    <t xml:space="preserve">TOTAL </t>
  </si>
  <si>
    <t>GASTOS</t>
  </si>
  <si>
    <t>INGRESOS</t>
  </si>
  <si>
    <t>EXISTENCIAS</t>
  </si>
  <si>
    <t>CAJA SECRETARIA</t>
  </si>
  <si>
    <t>CAJA PRESIDENTE</t>
  </si>
  <si>
    <t>VºBº EL PRESIDENTE</t>
  </si>
  <si>
    <t xml:space="preserve">regalos institucionales navideños </t>
  </si>
  <si>
    <t xml:space="preserve">INGRESOS ADAMUC CURSO 2024/2025 </t>
  </si>
  <si>
    <t>HOJA-4</t>
  </si>
  <si>
    <t>EUROS</t>
  </si>
  <si>
    <t>Nº</t>
  </si>
  <si>
    <t>CUOTA</t>
  </si>
  <si>
    <t xml:space="preserve"> CUOTAS SOCIOS</t>
  </si>
  <si>
    <t xml:space="preserve">cuotas anuales asociados </t>
  </si>
  <si>
    <t xml:space="preserve"> OTROS INGRESOS</t>
  </si>
  <si>
    <t>matriculas coro</t>
  </si>
  <si>
    <t>matriculas teatro</t>
  </si>
  <si>
    <t>Visitas Circulo de Bellas Artes</t>
  </si>
  <si>
    <t>matriculas informática</t>
  </si>
  <si>
    <t>pagado de más en cuota</t>
  </si>
  <si>
    <t>excursión BARRANCAS DE BURUJÓN</t>
  </si>
  <si>
    <t>excursión BONILLA-PIEDRAHITA</t>
  </si>
  <si>
    <t>excursión BUITRAGO DE LOZOLLA Y MONASTERIO DEL PAULAR</t>
  </si>
  <si>
    <t>excursión PEDRAZA</t>
  </si>
  <si>
    <t>excursión RECÓPOLIS</t>
  </si>
  <si>
    <t>excursión PALENCIA</t>
  </si>
  <si>
    <t>viaje país de los cátaros</t>
  </si>
  <si>
    <t>visita colecciones reales</t>
  </si>
  <si>
    <t>visitas Museo del Prado</t>
  </si>
  <si>
    <t>visita Reina Sofía</t>
  </si>
  <si>
    <t>visita Museo Sorolla</t>
  </si>
  <si>
    <t>visita Museo Lázaro Galdiano</t>
  </si>
  <si>
    <t>zarzuela aa/a</t>
  </si>
  <si>
    <t>zarzuela gavilanes</t>
  </si>
  <si>
    <t>zarzuela doña francisquita</t>
  </si>
  <si>
    <t>zarzuela verbena de la paloma</t>
  </si>
  <si>
    <t>zarzuela barberillo de lavapiés</t>
  </si>
  <si>
    <t>zarzuela la rosa del azafrán</t>
  </si>
  <si>
    <t>comisiones bancarias devueltas por caixa</t>
  </si>
  <si>
    <t>comida Navidad 2024 (inscripciones)</t>
  </si>
  <si>
    <t>devoluciones visitas curso 23/24</t>
  </si>
  <si>
    <t>devoluciones comida navidad</t>
  </si>
  <si>
    <t>matriculas seminario mexico</t>
  </si>
  <si>
    <t>devolución de más museo galdiano</t>
  </si>
  <si>
    <t>Reservas anteriores</t>
  </si>
  <si>
    <t>Reservas acumuladas</t>
  </si>
  <si>
    <t xml:space="preserve">TOTAL INGRESOS </t>
  </si>
  <si>
    <t>ingresos ejercicio actual</t>
  </si>
  <si>
    <t>PRO-MEMORIA excursiones</t>
  </si>
  <si>
    <t>Donativos</t>
  </si>
  <si>
    <t>gastos</t>
  </si>
  <si>
    <t>neto</t>
  </si>
  <si>
    <t>BARRANCAS DE BURUJÓN</t>
  </si>
  <si>
    <t>BONILLA-PIEDRAHITA</t>
  </si>
  <si>
    <t>BUITRAGO DE LOZOLLA Y MONASTERIO DEL PAULAR</t>
  </si>
  <si>
    <t>PEDRAZA ERMITA DE NUESTRA SEÑORA DE LAS VEGAS Y CUEVA DE LOS ENEBRALEJOS</t>
  </si>
  <si>
    <t>RECÓPOLIS Y ZORITA DE LOS CANES</t>
  </si>
  <si>
    <t>excursión palencia</t>
  </si>
  <si>
    <t xml:space="preserve">                                            </t>
  </si>
  <si>
    <t>VºBº Presidente</t>
  </si>
  <si>
    <t>Tesorero</t>
  </si>
  <si>
    <t>PRESUPUESTO 2024-25</t>
  </si>
  <si>
    <t>HOJA 7</t>
  </si>
  <si>
    <t>PPTO</t>
  </si>
  <si>
    <t>REAL</t>
  </si>
  <si>
    <t>NUM</t>
  </si>
  <si>
    <t>DIFF</t>
  </si>
  <si>
    <t>SOCIOS A 35 EUROS</t>
  </si>
  <si>
    <t>TEATRO (matrículas)</t>
  </si>
  <si>
    <t>TEATRO(ensayos, dirección y actuaciones)</t>
  </si>
  <si>
    <t>CORO(matriculas)</t>
  </si>
  <si>
    <t>CORO(ensayos, dirección y actuaciones)</t>
  </si>
  <si>
    <t>INFORMATICA(matrículas)</t>
  </si>
  <si>
    <t>CONFERENCIAS&amp;seminarios</t>
  </si>
  <si>
    <t>EXCURSIONES (resultado neto)</t>
  </si>
  <si>
    <t>VISITAS  (resultado neto)</t>
  </si>
  <si>
    <t>COMIDA NAVIDAD 2025 (regalos institucionales)</t>
  </si>
  <si>
    <t>PREMIOS ADAMUC</t>
  </si>
  <si>
    <t>GASTOS PROMOCIONALES</t>
  </si>
  <si>
    <t>SEGUROS</t>
  </si>
  <si>
    <t>PRESUPUESTO 2025-2026</t>
  </si>
  <si>
    <t>Hoja 7</t>
  </si>
  <si>
    <t>REAL 2025 /2026</t>
  </si>
  <si>
    <t>A 30/09/2025</t>
  </si>
  <si>
    <t>REGALOS INSTITUCIONALES NAVIDAD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</si>
</sst>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#,##0.00\ _€"/>
    <numFmt numFmtId="165" formatCode="#,##0.00_ ;\-#,##0.00\ "/>
    <numFmt numFmtId="166" formatCode="#,##0.00\ &quot;€&quot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sz val="12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  <font>
      <sz val="12"/>
      <color rgb="FFFF0000"/>
      <name val="Arial"/>
      <family val="2"/>
    </font>
    <font>
      <sz val="10"/>
      <name val="Arial"/>
      <family val="2"/>
    </font>
    <font>
      <sz val="18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b/>
      <sz val="10"/>
      <color rgb="FF00B0F0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0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/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164" fontId="4" fillId="0" borderId="0" xfId="0" applyNumberFormat="1" applyFont="1"/>
    <xf numFmtId="0" fontId="5" fillId="0" borderId="0" xfId="0" applyFont="1"/>
    <xf numFmtId="164" fontId="4" fillId="0" borderId="2" xfId="0" applyNumberFormat="1" applyFont="1" applyBorder="1"/>
    <xf numFmtId="2" fontId="4" fillId="0" borderId="0" xfId="0" applyNumberFormat="1" applyFont="1"/>
    <xf numFmtId="43" fontId="4" fillId="0" borderId="0" xfId="1" applyFont="1"/>
    <xf numFmtId="164" fontId="4" fillId="0" borderId="1" xfId="0" applyNumberFormat="1" applyFont="1" applyBorder="1"/>
    <xf numFmtId="17" fontId="4" fillId="0" borderId="0" xfId="0" applyNumberFormat="1" applyFont="1"/>
    <xf numFmtId="17" fontId="2" fillId="0" borderId="0" xfId="0" applyNumberFormat="1" applyFont="1"/>
    <xf numFmtId="164" fontId="5" fillId="0" borderId="0" xfId="0" applyNumberFormat="1" applyFont="1"/>
    <xf numFmtId="0" fontId="5" fillId="0" borderId="0" xfId="0" applyFont="1" applyAlignment="1">
      <alignment horizontal="right"/>
    </xf>
    <xf numFmtId="164" fontId="5" fillId="0" borderId="1" xfId="0" applyNumberFormat="1" applyFont="1" applyBorder="1"/>
    <xf numFmtId="0" fontId="5" fillId="0" borderId="1" xfId="0" applyFont="1" applyBorder="1" applyAlignment="1">
      <alignment horizontal="center"/>
    </xf>
    <xf numFmtId="17" fontId="5" fillId="0" borderId="0" xfId="0" applyNumberFormat="1" applyFont="1"/>
    <xf numFmtId="165" fontId="4" fillId="0" borderId="1" xfId="1" applyNumberFormat="1" applyFont="1" applyBorder="1"/>
    <xf numFmtId="165" fontId="4" fillId="0" borderId="0" xfId="1" applyNumberFormat="1" applyFont="1"/>
    <xf numFmtId="4" fontId="4" fillId="0" borderId="0" xfId="0" applyNumberFormat="1" applyFont="1"/>
    <xf numFmtId="0" fontId="5" fillId="0" borderId="0" xfId="0" applyFont="1" applyAlignment="1">
      <alignment horizontal="left"/>
    </xf>
    <xf numFmtId="4" fontId="4" fillId="0" borderId="1" xfId="0" applyNumberFormat="1" applyFont="1" applyBorder="1"/>
    <xf numFmtId="14" fontId="4" fillId="0" borderId="1" xfId="0" applyNumberFormat="1" applyFont="1" applyBorder="1"/>
    <xf numFmtId="14" fontId="4" fillId="0" borderId="0" xfId="0" applyNumberFormat="1" applyFont="1"/>
    <xf numFmtId="0" fontId="6" fillId="0" borderId="1" xfId="0" applyFont="1" applyBorder="1" applyAlignment="1">
      <alignment horizontal="center"/>
    </xf>
    <xf numFmtId="2" fontId="7" fillId="0" borderId="1" xfId="0" applyNumberFormat="1" applyFont="1" applyBorder="1"/>
    <xf numFmtId="0" fontId="8" fillId="0" borderId="0" xfId="0" applyFont="1"/>
    <xf numFmtId="0" fontId="7" fillId="0" borderId="1" xfId="0" applyFont="1" applyBorder="1" applyAlignment="1">
      <alignment horizontal="center"/>
    </xf>
    <xf numFmtId="2" fontId="8" fillId="0" borderId="3" xfId="0" applyNumberFormat="1" applyFont="1" applyBorder="1"/>
    <xf numFmtId="2" fontId="8" fillId="0" borderId="0" xfId="0" applyNumberFormat="1" applyFont="1"/>
    <xf numFmtId="14" fontId="8" fillId="0" borderId="0" xfId="0" applyNumberFormat="1" applyFont="1"/>
    <xf numFmtId="0" fontId="7" fillId="0" borderId="0" xfId="0" applyFont="1"/>
    <xf numFmtId="4" fontId="9" fillId="0" borderId="0" xfId="0" applyNumberFormat="1" applyFont="1"/>
    <xf numFmtId="16" fontId="9" fillId="0" borderId="0" xfId="0" applyNumberFormat="1" applyFont="1"/>
    <xf numFmtId="0" fontId="9" fillId="0" borderId="0" xfId="0" applyFont="1"/>
    <xf numFmtId="4" fontId="9" fillId="0" borderId="1" xfId="0" applyNumberFormat="1" applyFont="1" applyBorder="1"/>
    <xf numFmtId="0" fontId="7" fillId="0" borderId="0" xfId="0" applyFont="1" applyAlignment="1">
      <alignment horizontal="left"/>
    </xf>
    <xf numFmtId="14" fontId="9" fillId="0" borderId="0" xfId="0" applyNumberFormat="1" applyFont="1"/>
    <xf numFmtId="17" fontId="7" fillId="0" borderId="0" xfId="0" applyNumberFormat="1" applyFont="1"/>
    <xf numFmtId="0" fontId="10" fillId="0" borderId="0" xfId="0" applyFont="1"/>
    <xf numFmtId="4" fontId="11" fillId="0" borderId="0" xfId="0" applyNumberFormat="1" applyFont="1"/>
    <xf numFmtId="0" fontId="9" fillId="0" borderId="1" xfId="0" applyFont="1" applyBorder="1"/>
    <xf numFmtId="4" fontId="7" fillId="0" borderId="1" xfId="0" applyNumberFormat="1" applyFont="1" applyBorder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166" fontId="7" fillId="0" borderId="1" xfId="0" applyNumberFormat="1" applyFont="1" applyBorder="1"/>
    <xf numFmtId="0" fontId="7" fillId="0" borderId="1" xfId="0" applyFont="1" applyBorder="1" applyAlignment="1">
      <alignment horizontal="right"/>
    </xf>
    <xf numFmtId="2" fontId="9" fillId="0" borderId="0" xfId="0" applyNumberFormat="1" applyFont="1"/>
    <xf numFmtId="2" fontId="7" fillId="0" borderId="0" xfId="0" applyNumberFormat="1" applyFont="1"/>
    <xf numFmtId="14" fontId="7" fillId="0" borderId="0" xfId="0" applyNumberFormat="1" applyFont="1"/>
    <xf numFmtId="0" fontId="7" fillId="0" borderId="1" xfId="0" applyFont="1" applyBorder="1"/>
    <xf numFmtId="0" fontId="6" fillId="0" borderId="1" xfId="0" applyFont="1" applyBorder="1" applyAlignment="1">
      <alignment horizontal="right"/>
    </xf>
    <xf numFmtId="0" fontId="9" fillId="0" borderId="1" xfId="0" applyFont="1" applyBorder="1" applyAlignment="1">
      <alignment horizontal="center"/>
    </xf>
    <xf numFmtId="0" fontId="12" fillId="0" borderId="0" xfId="0" applyFont="1"/>
    <xf numFmtId="4" fontId="7" fillId="0" borderId="0" xfId="0" applyNumberFormat="1" applyFont="1"/>
    <xf numFmtId="4" fontId="9" fillId="0" borderId="4" xfId="0" applyNumberFormat="1" applyFont="1" applyBorder="1"/>
    <xf numFmtId="0" fontId="13" fillId="0" borderId="0" xfId="0" applyFont="1"/>
    <xf numFmtId="4" fontId="9" fillId="0" borderId="2" xfId="0" applyNumberFormat="1" applyFont="1" applyBorder="1"/>
    <xf numFmtId="4" fontId="12" fillId="0" borderId="0" xfId="0" applyNumberFormat="1" applyFont="1"/>
    <xf numFmtId="16" fontId="13" fillId="0" borderId="0" xfId="0" applyNumberFormat="1" applyFont="1"/>
    <xf numFmtId="14" fontId="9" fillId="0" borderId="1" xfId="0" applyNumberFormat="1" applyFont="1" applyBorder="1"/>
    <xf numFmtId="0" fontId="7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4" fontId="9" fillId="0" borderId="2" xfId="0" applyNumberFormat="1" applyFont="1" applyBorder="1" applyAlignment="1">
      <alignment horizontal="center"/>
    </xf>
    <xf numFmtId="0" fontId="4" fillId="0" borderId="2" xfId="0" applyFont="1" applyBorder="1"/>
    <xf numFmtId="0" fontId="14" fillId="0" borderId="0" xfId="0" applyFont="1"/>
    <xf numFmtId="0" fontId="15" fillId="0" borderId="0" xfId="0" applyFont="1"/>
    <xf numFmtId="14" fontId="16" fillId="0" borderId="0" xfId="0" applyNumberFormat="1" applyFont="1" applyAlignment="1">
      <alignment horizontal="center"/>
    </xf>
    <xf numFmtId="4" fontId="13" fillId="0" borderId="0" xfId="0" applyNumberFormat="1" applyFont="1"/>
    <xf numFmtId="0" fontId="1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7" xfId="0" applyFont="1" applyBorder="1" applyAlignment="1">
      <alignment horizontal="center"/>
    </xf>
    <xf numFmtId="0" fontId="2" fillId="0" borderId="0" xfId="0" applyFont="1"/>
    <xf numFmtId="0" fontId="4" fillId="0" borderId="4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4" fontId="4" fillId="0" borderId="2" xfId="0" applyNumberFormat="1" applyFont="1" applyBorder="1"/>
    <xf numFmtId="4" fontId="17" fillId="0" borderId="0" xfId="0" applyNumberFormat="1" applyFont="1"/>
    <xf numFmtId="4" fontId="4" fillId="0" borderId="8" xfId="0" applyNumberFormat="1" applyFont="1" applyBorder="1"/>
    <xf numFmtId="4" fontId="4" fillId="0" borderId="9" xfId="0" applyNumberFormat="1" applyFont="1" applyBorder="1"/>
    <xf numFmtId="4" fontId="0" fillId="0" borderId="2" xfId="0" applyNumberFormat="1" applyBorder="1"/>
    <xf numFmtId="4" fontId="0" fillId="0" borderId="0" xfId="0" applyNumberFormat="1"/>
    <xf numFmtId="4" fontId="4" fillId="0" borderId="10" xfId="0" applyNumberFormat="1" applyFont="1" applyBorder="1"/>
    <xf numFmtId="4" fontId="9" fillId="0" borderId="11" xfId="0" applyNumberFormat="1" applyFont="1" applyBorder="1" applyAlignment="1">
      <alignment horizontal="center"/>
    </xf>
    <xf numFmtId="0" fontId="7" fillId="0" borderId="8" xfId="0" applyFont="1" applyBorder="1"/>
    <xf numFmtId="0" fontId="4" fillId="0" borderId="8" xfId="0" applyFont="1" applyBorder="1"/>
    <xf numFmtId="4" fontId="9" fillId="0" borderId="12" xfId="0" applyNumberFormat="1" applyFont="1" applyBorder="1" applyAlignment="1">
      <alignment horizontal="center"/>
    </xf>
    <xf numFmtId="4" fontId="9" fillId="0" borderId="13" xfId="0" applyNumberFormat="1" applyFont="1" applyBorder="1" applyAlignment="1">
      <alignment horizontal="center"/>
    </xf>
    <xf numFmtId="4" fontId="9" fillId="0" borderId="14" xfId="0" applyNumberFormat="1" applyFont="1" applyBorder="1" applyAlignment="1">
      <alignment horizontal="center"/>
    </xf>
    <xf numFmtId="4" fontId="9" fillId="0" borderId="15" xfId="0" applyNumberFormat="1" applyFont="1" applyBorder="1" applyAlignment="1">
      <alignment horizontal="center"/>
    </xf>
    <xf numFmtId="4" fontId="9" fillId="0" borderId="16" xfId="0" applyNumberFormat="1" applyFont="1" applyBorder="1" applyAlignment="1">
      <alignment horizontal="center"/>
    </xf>
    <xf numFmtId="4" fontId="9" fillId="0" borderId="17" xfId="0" applyNumberFormat="1" applyFont="1" applyBorder="1" applyAlignment="1">
      <alignment horizontal="center"/>
    </xf>
    <xf numFmtId="4" fontId="9" fillId="0" borderId="18" xfId="0" applyNumberFormat="1" applyFont="1" applyBorder="1" applyAlignment="1">
      <alignment horizontal="center"/>
    </xf>
    <xf numFmtId="4" fontId="9" fillId="0" borderId="19" xfId="0" applyNumberFormat="1" applyFont="1" applyBorder="1" applyAlignment="1">
      <alignment horizontal="center"/>
    </xf>
    <xf numFmtId="166" fontId="12" fillId="0" borderId="20" xfId="0" applyNumberFormat="1" applyFont="1" applyBorder="1" applyAlignment="1">
      <alignment horizontal="center"/>
    </xf>
    <xf numFmtId="166" fontId="12" fillId="0" borderId="21" xfId="0" applyNumberFormat="1" applyFont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ADAMUC-EDDY\CONTABILIDAD%20TESORERIA%202024%202025%20EDDY\Informes%20a%20junta\Tesorer&#237;a%20a%2031%20de%20AGOSTO%20de%202025.xlsx" TargetMode="External"/><Relationship Id="rId1" Type="http://schemas.openxmlformats.org/officeDocument/2006/relationships/externalLinkPath" Target="/ADAMUC-EDDY/CONTABILIDAD%20TESORERIA%202024%202025%20EDDY/Informes%20a%20junta/Tesorer&#237;a%20a%2031%20de%20AGOSTO%20de%202025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ADAMUC-EDDY\CONTABILIDAD%20TESORERIA%202024%202025%20EDDY\Informes%20a%20junta\Tesorer&#237;a%20a%2031%20de%20MAYO%20DE%202025.xlsx" TargetMode="External"/><Relationship Id="rId1" Type="http://schemas.openxmlformats.org/officeDocument/2006/relationships/externalLinkPath" Target="/ADAMUC-EDDY/CONTABILIDAD%20TESORERIA%202024%202025%20EDDY/Informes%20a%20junta/Tesorer&#237;a%20a%2031%20de%20MAYO%20DE%20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ALANCE"/>
      <sheetName val="LIBRO DE CAJA"/>
      <sheetName val="GASTOS"/>
      <sheetName val="INGRESOS"/>
      <sheetName val="PPTO 2024-2025"/>
      <sheetName val="CUOTA SOCIOS"/>
      <sheetName val="COMPARATIVA DE GASTOS"/>
      <sheetName val="COMPARATIVA DE INGRESOS"/>
      <sheetName val="SOCIOS AL 27 -04-2025"/>
    </sheetNames>
    <sheetDataSet>
      <sheetData sheetId="0"/>
      <sheetData sheetId="1"/>
      <sheetData sheetId="2"/>
      <sheetData sheetId="3">
        <row r="36">
          <cell r="C36">
            <v>49508.08</v>
          </cell>
        </row>
      </sheetData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ALANCE"/>
      <sheetName val="LIBRO DE CAJA"/>
      <sheetName val="GASTOS"/>
      <sheetName val="INGRESOS"/>
      <sheetName val="CUOTA SOCIOS"/>
      <sheetName val="PPTO 2024-2025"/>
      <sheetName val="COMPARATIVA DE GASTOS"/>
      <sheetName val="COMPARATIVA DE INGRESOS"/>
      <sheetName val="SOCIOS AL 27-04-2025"/>
    </sheetNames>
    <sheetDataSet>
      <sheetData sheetId="0"/>
      <sheetData sheetId="1"/>
      <sheetData sheetId="2"/>
      <sheetData sheetId="3">
        <row r="3">
          <cell r="B3">
            <v>14700</v>
          </cell>
          <cell r="D3">
            <v>420</v>
          </cell>
        </row>
        <row r="5">
          <cell r="B5">
            <v>925</v>
          </cell>
        </row>
        <row r="6">
          <cell r="B6">
            <v>540</v>
          </cell>
        </row>
        <row r="8">
          <cell r="B8">
            <v>445</v>
          </cell>
        </row>
        <row r="35">
          <cell r="B35">
            <v>270</v>
          </cell>
        </row>
      </sheetData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89A7B-CAFC-47BC-A50A-C39DDB492470}">
  <dimension ref="A1:F47"/>
  <sheetViews>
    <sheetView tabSelected="1" topLeftCell="A12" workbookViewId="0">
      <selection activeCell="U47" sqref="U47"/>
    </sheetView>
  </sheetViews>
  <sheetFormatPr baseColWidth="10" defaultColWidth="8.42578125" defaultRowHeight="12.75" x14ac:dyDescent="0.2"/>
  <cols>
    <col min="1" max="1" width="38.7109375" style="2" bestFit="1" customWidth="1"/>
    <col min="2" max="2" width="11.7109375" style="2" customWidth="1"/>
    <col min="3" max="3" width="13.85546875" style="2" customWidth="1"/>
    <col min="4" max="4" width="10.85546875" style="2" bestFit="1" customWidth="1"/>
    <col min="5" max="5" width="15.28515625" style="2" bestFit="1" customWidth="1"/>
    <col min="6" max="255" width="8.42578125" style="2"/>
    <col min="256" max="256" width="38.7109375" style="2" bestFit="1" customWidth="1"/>
    <col min="257" max="257" width="13.5703125" style="2" bestFit="1" customWidth="1"/>
    <col min="258" max="258" width="13.85546875" style="2" customWidth="1"/>
    <col min="259" max="259" width="10.85546875" style="2" bestFit="1" customWidth="1"/>
    <col min="260" max="260" width="15.28515625" style="2" bestFit="1" customWidth="1"/>
    <col min="261" max="261" width="13.5703125" style="2" bestFit="1" customWidth="1"/>
    <col min="262" max="511" width="8.42578125" style="2"/>
    <col min="512" max="512" width="38.7109375" style="2" bestFit="1" customWidth="1"/>
    <col min="513" max="513" width="13.5703125" style="2" bestFit="1" customWidth="1"/>
    <col min="514" max="514" width="13.85546875" style="2" customWidth="1"/>
    <col min="515" max="515" width="10.85546875" style="2" bestFit="1" customWidth="1"/>
    <col min="516" max="516" width="15.28515625" style="2" bestFit="1" customWidth="1"/>
    <col min="517" max="517" width="13.5703125" style="2" bestFit="1" customWidth="1"/>
    <col min="518" max="767" width="8.42578125" style="2"/>
    <col min="768" max="768" width="38.7109375" style="2" bestFit="1" customWidth="1"/>
    <col min="769" max="769" width="13.5703125" style="2" bestFit="1" customWidth="1"/>
    <col min="770" max="770" width="13.85546875" style="2" customWidth="1"/>
    <col min="771" max="771" width="10.85546875" style="2" bestFit="1" customWidth="1"/>
    <col min="772" max="772" width="15.28515625" style="2" bestFit="1" customWidth="1"/>
    <col min="773" max="773" width="13.5703125" style="2" bestFit="1" customWidth="1"/>
    <col min="774" max="1023" width="8.42578125" style="2"/>
    <col min="1024" max="1024" width="38.7109375" style="2" bestFit="1" customWidth="1"/>
    <col min="1025" max="1025" width="13.5703125" style="2" bestFit="1" customWidth="1"/>
    <col min="1026" max="1026" width="13.85546875" style="2" customWidth="1"/>
    <col min="1027" max="1027" width="10.85546875" style="2" bestFit="1" customWidth="1"/>
    <col min="1028" max="1028" width="15.28515625" style="2" bestFit="1" customWidth="1"/>
    <col min="1029" max="1029" width="13.5703125" style="2" bestFit="1" customWidth="1"/>
    <col min="1030" max="1279" width="8.42578125" style="2"/>
    <col min="1280" max="1280" width="38.7109375" style="2" bestFit="1" customWidth="1"/>
    <col min="1281" max="1281" width="13.5703125" style="2" bestFit="1" customWidth="1"/>
    <col min="1282" max="1282" width="13.85546875" style="2" customWidth="1"/>
    <col min="1283" max="1283" width="10.85546875" style="2" bestFit="1" customWidth="1"/>
    <col min="1284" max="1284" width="15.28515625" style="2" bestFit="1" customWidth="1"/>
    <col min="1285" max="1285" width="13.5703125" style="2" bestFit="1" customWidth="1"/>
    <col min="1286" max="1535" width="8.42578125" style="2"/>
    <col min="1536" max="1536" width="38.7109375" style="2" bestFit="1" customWidth="1"/>
    <col min="1537" max="1537" width="13.5703125" style="2" bestFit="1" customWidth="1"/>
    <col min="1538" max="1538" width="13.85546875" style="2" customWidth="1"/>
    <col min="1539" max="1539" width="10.85546875" style="2" bestFit="1" customWidth="1"/>
    <col min="1540" max="1540" width="15.28515625" style="2" bestFit="1" customWidth="1"/>
    <col min="1541" max="1541" width="13.5703125" style="2" bestFit="1" customWidth="1"/>
    <col min="1542" max="1791" width="8.42578125" style="2"/>
    <col min="1792" max="1792" width="38.7109375" style="2" bestFit="1" customWidth="1"/>
    <col min="1793" max="1793" width="13.5703125" style="2" bestFit="1" customWidth="1"/>
    <col min="1794" max="1794" width="13.85546875" style="2" customWidth="1"/>
    <col min="1795" max="1795" width="10.85546875" style="2" bestFit="1" customWidth="1"/>
    <col min="1796" max="1796" width="15.28515625" style="2" bestFit="1" customWidth="1"/>
    <col min="1797" max="1797" width="13.5703125" style="2" bestFit="1" customWidth="1"/>
    <col min="1798" max="2047" width="8.42578125" style="2"/>
    <col min="2048" max="2048" width="38.7109375" style="2" bestFit="1" customWidth="1"/>
    <col min="2049" max="2049" width="13.5703125" style="2" bestFit="1" customWidth="1"/>
    <col min="2050" max="2050" width="13.85546875" style="2" customWidth="1"/>
    <col min="2051" max="2051" width="10.85546875" style="2" bestFit="1" customWidth="1"/>
    <col min="2052" max="2052" width="15.28515625" style="2" bestFit="1" customWidth="1"/>
    <col min="2053" max="2053" width="13.5703125" style="2" bestFit="1" customWidth="1"/>
    <col min="2054" max="2303" width="8.42578125" style="2"/>
    <col min="2304" max="2304" width="38.7109375" style="2" bestFit="1" customWidth="1"/>
    <col min="2305" max="2305" width="13.5703125" style="2" bestFit="1" customWidth="1"/>
    <col min="2306" max="2306" width="13.85546875" style="2" customWidth="1"/>
    <col min="2307" max="2307" width="10.85546875" style="2" bestFit="1" customWidth="1"/>
    <col min="2308" max="2308" width="15.28515625" style="2" bestFit="1" customWidth="1"/>
    <col min="2309" max="2309" width="13.5703125" style="2" bestFit="1" customWidth="1"/>
    <col min="2310" max="2559" width="8.42578125" style="2"/>
    <col min="2560" max="2560" width="38.7109375" style="2" bestFit="1" customWidth="1"/>
    <col min="2561" max="2561" width="13.5703125" style="2" bestFit="1" customWidth="1"/>
    <col min="2562" max="2562" width="13.85546875" style="2" customWidth="1"/>
    <col min="2563" max="2563" width="10.85546875" style="2" bestFit="1" customWidth="1"/>
    <col min="2564" max="2564" width="15.28515625" style="2" bestFit="1" customWidth="1"/>
    <col min="2565" max="2565" width="13.5703125" style="2" bestFit="1" customWidth="1"/>
    <col min="2566" max="2815" width="8.42578125" style="2"/>
    <col min="2816" max="2816" width="38.7109375" style="2" bestFit="1" customWidth="1"/>
    <col min="2817" max="2817" width="13.5703125" style="2" bestFit="1" customWidth="1"/>
    <col min="2818" max="2818" width="13.85546875" style="2" customWidth="1"/>
    <col min="2819" max="2819" width="10.85546875" style="2" bestFit="1" customWidth="1"/>
    <col min="2820" max="2820" width="15.28515625" style="2" bestFit="1" customWidth="1"/>
    <col min="2821" max="2821" width="13.5703125" style="2" bestFit="1" customWidth="1"/>
    <col min="2822" max="3071" width="8.42578125" style="2"/>
    <col min="3072" max="3072" width="38.7109375" style="2" bestFit="1" customWidth="1"/>
    <col min="3073" max="3073" width="13.5703125" style="2" bestFit="1" customWidth="1"/>
    <col min="3074" max="3074" width="13.85546875" style="2" customWidth="1"/>
    <col min="3075" max="3075" width="10.85546875" style="2" bestFit="1" customWidth="1"/>
    <col min="3076" max="3076" width="15.28515625" style="2" bestFit="1" customWidth="1"/>
    <col min="3077" max="3077" width="13.5703125" style="2" bestFit="1" customWidth="1"/>
    <col min="3078" max="3327" width="8.42578125" style="2"/>
    <col min="3328" max="3328" width="38.7109375" style="2" bestFit="1" customWidth="1"/>
    <col min="3329" max="3329" width="13.5703125" style="2" bestFit="1" customWidth="1"/>
    <col min="3330" max="3330" width="13.85546875" style="2" customWidth="1"/>
    <col min="3331" max="3331" width="10.85546875" style="2" bestFit="1" customWidth="1"/>
    <col min="3332" max="3332" width="15.28515625" style="2" bestFit="1" customWidth="1"/>
    <col min="3333" max="3333" width="13.5703125" style="2" bestFit="1" customWidth="1"/>
    <col min="3334" max="3583" width="8.42578125" style="2"/>
    <col min="3584" max="3584" width="38.7109375" style="2" bestFit="1" customWidth="1"/>
    <col min="3585" max="3585" width="13.5703125" style="2" bestFit="1" customWidth="1"/>
    <col min="3586" max="3586" width="13.85546875" style="2" customWidth="1"/>
    <col min="3587" max="3587" width="10.85546875" style="2" bestFit="1" customWidth="1"/>
    <col min="3588" max="3588" width="15.28515625" style="2" bestFit="1" customWidth="1"/>
    <col min="3589" max="3589" width="13.5703125" style="2" bestFit="1" customWidth="1"/>
    <col min="3590" max="3839" width="8.42578125" style="2"/>
    <col min="3840" max="3840" width="38.7109375" style="2" bestFit="1" customWidth="1"/>
    <col min="3841" max="3841" width="13.5703125" style="2" bestFit="1" customWidth="1"/>
    <col min="3842" max="3842" width="13.85546875" style="2" customWidth="1"/>
    <col min="3843" max="3843" width="10.85546875" style="2" bestFit="1" customWidth="1"/>
    <col min="3844" max="3844" width="15.28515625" style="2" bestFit="1" customWidth="1"/>
    <col min="3845" max="3845" width="13.5703125" style="2" bestFit="1" customWidth="1"/>
    <col min="3846" max="4095" width="8.42578125" style="2"/>
    <col min="4096" max="4096" width="38.7109375" style="2" bestFit="1" customWidth="1"/>
    <col min="4097" max="4097" width="13.5703125" style="2" bestFit="1" customWidth="1"/>
    <col min="4098" max="4098" width="13.85546875" style="2" customWidth="1"/>
    <col min="4099" max="4099" width="10.85546875" style="2" bestFit="1" customWidth="1"/>
    <col min="4100" max="4100" width="15.28515625" style="2" bestFit="1" customWidth="1"/>
    <col min="4101" max="4101" width="13.5703125" style="2" bestFit="1" customWidth="1"/>
    <col min="4102" max="4351" width="8.42578125" style="2"/>
    <col min="4352" max="4352" width="38.7109375" style="2" bestFit="1" customWidth="1"/>
    <col min="4353" max="4353" width="13.5703125" style="2" bestFit="1" customWidth="1"/>
    <col min="4354" max="4354" width="13.85546875" style="2" customWidth="1"/>
    <col min="4355" max="4355" width="10.85546875" style="2" bestFit="1" customWidth="1"/>
    <col min="4356" max="4356" width="15.28515625" style="2" bestFit="1" customWidth="1"/>
    <col min="4357" max="4357" width="13.5703125" style="2" bestFit="1" customWidth="1"/>
    <col min="4358" max="4607" width="8.42578125" style="2"/>
    <col min="4608" max="4608" width="38.7109375" style="2" bestFit="1" customWidth="1"/>
    <col min="4609" max="4609" width="13.5703125" style="2" bestFit="1" customWidth="1"/>
    <col min="4610" max="4610" width="13.85546875" style="2" customWidth="1"/>
    <col min="4611" max="4611" width="10.85546875" style="2" bestFit="1" customWidth="1"/>
    <col min="4612" max="4612" width="15.28515625" style="2" bestFit="1" customWidth="1"/>
    <col min="4613" max="4613" width="13.5703125" style="2" bestFit="1" customWidth="1"/>
    <col min="4614" max="4863" width="8.42578125" style="2"/>
    <col min="4864" max="4864" width="38.7109375" style="2" bestFit="1" customWidth="1"/>
    <col min="4865" max="4865" width="13.5703125" style="2" bestFit="1" customWidth="1"/>
    <col min="4866" max="4866" width="13.85546875" style="2" customWidth="1"/>
    <col min="4867" max="4867" width="10.85546875" style="2" bestFit="1" customWidth="1"/>
    <col min="4868" max="4868" width="15.28515625" style="2" bestFit="1" customWidth="1"/>
    <col min="4869" max="4869" width="13.5703125" style="2" bestFit="1" customWidth="1"/>
    <col min="4870" max="5119" width="8.42578125" style="2"/>
    <col min="5120" max="5120" width="38.7109375" style="2" bestFit="1" customWidth="1"/>
    <col min="5121" max="5121" width="13.5703125" style="2" bestFit="1" customWidth="1"/>
    <col min="5122" max="5122" width="13.85546875" style="2" customWidth="1"/>
    <col min="5123" max="5123" width="10.85546875" style="2" bestFit="1" customWidth="1"/>
    <col min="5124" max="5124" width="15.28515625" style="2" bestFit="1" customWidth="1"/>
    <col min="5125" max="5125" width="13.5703125" style="2" bestFit="1" customWidth="1"/>
    <col min="5126" max="5375" width="8.42578125" style="2"/>
    <col min="5376" max="5376" width="38.7109375" style="2" bestFit="1" customWidth="1"/>
    <col min="5377" max="5377" width="13.5703125" style="2" bestFit="1" customWidth="1"/>
    <col min="5378" max="5378" width="13.85546875" style="2" customWidth="1"/>
    <col min="5379" max="5379" width="10.85546875" style="2" bestFit="1" customWidth="1"/>
    <col min="5380" max="5380" width="15.28515625" style="2" bestFit="1" customWidth="1"/>
    <col min="5381" max="5381" width="13.5703125" style="2" bestFit="1" customWidth="1"/>
    <col min="5382" max="5631" width="8.42578125" style="2"/>
    <col min="5632" max="5632" width="38.7109375" style="2" bestFit="1" customWidth="1"/>
    <col min="5633" max="5633" width="13.5703125" style="2" bestFit="1" customWidth="1"/>
    <col min="5634" max="5634" width="13.85546875" style="2" customWidth="1"/>
    <col min="5635" max="5635" width="10.85546875" style="2" bestFit="1" customWidth="1"/>
    <col min="5636" max="5636" width="15.28515625" style="2" bestFit="1" customWidth="1"/>
    <col min="5637" max="5637" width="13.5703125" style="2" bestFit="1" customWidth="1"/>
    <col min="5638" max="5887" width="8.42578125" style="2"/>
    <col min="5888" max="5888" width="38.7109375" style="2" bestFit="1" customWidth="1"/>
    <col min="5889" max="5889" width="13.5703125" style="2" bestFit="1" customWidth="1"/>
    <col min="5890" max="5890" width="13.85546875" style="2" customWidth="1"/>
    <col min="5891" max="5891" width="10.85546875" style="2" bestFit="1" customWidth="1"/>
    <col min="5892" max="5892" width="15.28515625" style="2" bestFit="1" customWidth="1"/>
    <col min="5893" max="5893" width="13.5703125" style="2" bestFit="1" customWidth="1"/>
    <col min="5894" max="6143" width="8.42578125" style="2"/>
    <col min="6144" max="6144" width="38.7109375" style="2" bestFit="1" customWidth="1"/>
    <col min="6145" max="6145" width="13.5703125" style="2" bestFit="1" customWidth="1"/>
    <col min="6146" max="6146" width="13.85546875" style="2" customWidth="1"/>
    <col min="6147" max="6147" width="10.85546875" style="2" bestFit="1" customWidth="1"/>
    <col min="6148" max="6148" width="15.28515625" style="2" bestFit="1" customWidth="1"/>
    <col min="6149" max="6149" width="13.5703125" style="2" bestFit="1" customWidth="1"/>
    <col min="6150" max="6399" width="8.42578125" style="2"/>
    <col min="6400" max="6400" width="38.7109375" style="2" bestFit="1" customWidth="1"/>
    <col min="6401" max="6401" width="13.5703125" style="2" bestFit="1" customWidth="1"/>
    <col min="6402" max="6402" width="13.85546875" style="2" customWidth="1"/>
    <col min="6403" max="6403" width="10.85546875" style="2" bestFit="1" customWidth="1"/>
    <col min="6404" max="6404" width="15.28515625" style="2" bestFit="1" customWidth="1"/>
    <col min="6405" max="6405" width="13.5703125" style="2" bestFit="1" customWidth="1"/>
    <col min="6406" max="6655" width="8.42578125" style="2"/>
    <col min="6656" max="6656" width="38.7109375" style="2" bestFit="1" customWidth="1"/>
    <col min="6657" max="6657" width="13.5703125" style="2" bestFit="1" customWidth="1"/>
    <col min="6658" max="6658" width="13.85546875" style="2" customWidth="1"/>
    <col min="6659" max="6659" width="10.85546875" style="2" bestFit="1" customWidth="1"/>
    <col min="6660" max="6660" width="15.28515625" style="2" bestFit="1" customWidth="1"/>
    <col min="6661" max="6661" width="13.5703125" style="2" bestFit="1" customWidth="1"/>
    <col min="6662" max="6911" width="8.42578125" style="2"/>
    <col min="6912" max="6912" width="38.7109375" style="2" bestFit="1" customWidth="1"/>
    <col min="6913" max="6913" width="13.5703125" style="2" bestFit="1" customWidth="1"/>
    <col min="6914" max="6914" width="13.85546875" style="2" customWidth="1"/>
    <col min="6915" max="6915" width="10.85546875" style="2" bestFit="1" customWidth="1"/>
    <col min="6916" max="6916" width="15.28515625" style="2" bestFit="1" customWidth="1"/>
    <col min="6917" max="6917" width="13.5703125" style="2" bestFit="1" customWidth="1"/>
    <col min="6918" max="7167" width="8.42578125" style="2"/>
    <col min="7168" max="7168" width="38.7109375" style="2" bestFit="1" customWidth="1"/>
    <col min="7169" max="7169" width="13.5703125" style="2" bestFit="1" customWidth="1"/>
    <col min="7170" max="7170" width="13.85546875" style="2" customWidth="1"/>
    <col min="7171" max="7171" width="10.85546875" style="2" bestFit="1" customWidth="1"/>
    <col min="7172" max="7172" width="15.28515625" style="2" bestFit="1" customWidth="1"/>
    <col min="7173" max="7173" width="13.5703125" style="2" bestFit="1" customWidth="1"/>
    <col min="7174" max="7423" width="8.42578125" style="2"/>
    <col min="7424" max="7424" width="38.7109375" style="2" bestFit="1" customWidth="1"/>
    <col min="7425" max="7425" width="13.5703125" style="2" bestFit="1" customWidth="1"/>
    <col min="7426" max="7426" width="13.85546875" style="2" customWidth="1"/>
    <col min="7427" max="7427" width="10.85546875" style="2" bestFit="1" customWidth="1"/>
    <col min="7428" max="7428" width="15.28515625" style="2" bestFit="1" customWidth="1"/>
    <col min="7429" max="7429" width="13.5703125" style="2" bestFit="1" customWidth="1"/>
    <col min="7430" max="7679" width="8.42578125" style="2"/>
    <col min="7680" max="7680" width="38.7109375" style="2" bestFit="1" customWidth="1"/>
    <col min="7681" max="7681" width="13.5703125" style="2" bestFit="1" customWidth="1"/>
    <col min="7682" max="7682" width="13.85546875" style="2" customWidth="1"/>
    <col min="7683" max="7683" width="10.85546875" style="2" bestFit="1" customWidth="1"/>
    <col min="7684" max="7684" width="15.28515625" style="2" bestFit="1" customWidth="1"/>
    <col min="7685" max="7685" width="13.5703125" style="2" bestFit="1" customWidth="1"/>
    <col min="7686" max="7935" width="8.42578125" style="2"/>
    <col min="7936" max="7936" width="38.7109375" style="2" bestFit="1" customWidth="1"/>
    <col min="7937" max="7937" width="13.5703125" style="2" bestFit="1" customWidth="1"/>
    <col min="7938" max="7938" width="13.85546875" style="2" customWidth="1"/>
    <col min="7939" max="7939" width="10.85546875" style="2" bestFit="1" customWidth="1"/>
    <col min="7940" max="7940" width="15.28515625" style="2" bestFit="1" customWidth="1"/>
    <col min="7941" max="7941" width="13.5703125" style="2" bestFit="1" customWidth="1"/>
    <col min="7942" max="8191" width="8.42578125" style="2"/>
    <col min="8192" max="8192" width="38.7109375" style="2" bestFit="1" customWidth="1"/>
    <col min="8193" max="8193" width="13.5703125" style="2" bestFit="1" customWidth="1"/>
    <col min="8194" max="8194" width="13.85546875" style="2" customWidth="1"/>
    <col min="8195" max="8195" width="10.85546875" style="2" bestFit="1" customWidth="1"/>
    <col min="8196" max="8196" width="15.28515625" style="2" bestFit="1" customWidth="1"/>
    <col min="8197" max="8197" width="13.5703125" style="2" bestFit="1" customWidth="1"/>
    <col min="8198" max="8447" width="8.42578125" style="2"/>
    <col min="8448" max="8448" width="38.7109375" style="2" bestFit="1" customWidth="1"/>
    <col min="8449" max="8449" width="13.5703125" style="2" bestFit="1" customWidth="1"/>
    <col min="8450" max="8450" width="13.85546875" style="2" customWidth="1"/>
    <col min="8451" max="8451" width="10.85546875" style="2" bestFit="1" customWidth="1"/>
    <col min="8452" max="8452" width="15.28515625" style="2" bestFit="1" customWidth="1"/>
    <col min="8453" max="8453" width="13.5703125" style="2" bestFit="1" customWidth="1"/>
    <col min="8454" max="8703" width="8.42578125" style="2"/>
    <col min="8704" max="8704" width="38.7109375" style="2" bestFit="1" customWidth="1"/>
    <col min="8705" max="8705" width="13.5703125" style="2" bestFit="1" customWidth="1"/>
    <col min="8706" max="8706" width="13.85546875" style="2" customWidth="1"/>
    <col min="8707" max="8707" width="10.85546875" style="2" bestFit="1" customWidth="1"/>
    <col min="8708" max="8708" width="15.28515625" style="2" bestFit="1" customWidth="1"/>
    <col min="8709" max="8709" width="13.5703125" style="2" bestFit="1" customWidth="1"/>
    <col min="8710" max="8959" width="8.42578125" style="2"/>
    <col min="8960" max="8960" width="38.7109375" style="2" bestFit="1" customWidth="1"/>
    <col min="8961" max="8961" width="13.5703125" style="2" bestFit="1" customWidth="1"/>
    <col min="8962" max="8962" width="13.85546875" style="2" customWidth="1"/>
    <col min="8963" max="8963" width="10.85546875" style="2" bestFit="1" customWidth="1"/>
    <col min="8964" max="8964" width="15.28515625" style="2" bestFit="1" customWidth="1"/>
    <col min="8965" max="8965" width="13.5703125" style="2" bestFit="1" customWidth="1"/>
    <col min="8966" max="9215" width="8.42578125" style="2"/>
    <col min="9216" max="9216" width="38.7109375" style="2" bestFit="1" customWidth="1"/>
    <col min="9217" max="9217" width="13.5703125" style="2" bestFit="1" customWidth="1"/>
    <col min="9218" max="9218" width="13.85546875" style="2" customWidth="1"/>
    <col min="9219" max="9219" width="10.85546875" style="2" bestFit="1" customWidth="1"/>
    <col min="9220" max="9220" width="15.28515625" style="2" bestFit="1" customWidth="1"/>
    <col min="9221" max="9221" width="13.5703125" style="2" bestFit="1" customWidth="1"/>
    <col min="9222" max="9471" width="8.42578125" style="2"/>
    <col min="9472" max="9472" width="38.7109375" style="2" bestFit="1" customWidth="1"/>
    <col min="9473" max="9473" width="13.5703125" style="2" bestFit="1" customWidth="1"/>
    <col min="9474" max="9474" width="13.85546875" style="2" customWidth="1"/>
    <col min="9475" max="9475" width="10.85546875" style="2" bestFit="1" customWidth="1"/>
    <col min="9476" max="9476" width="15.28515625" style="2" bestFit="1" customWidth="1"/>
    <col min="9477" max="9477" width="13.5703125" style="2" bestFit="1" customWidth="1"/>
    <col min="9478" max="9727" width="8.42578125" style="2"/>
    <col min="9728" max="9728" width="38.7109375" style="2" bestFit="1" customWidth="1"/>
    <col min="9729" max="9729" width="13.5703125" style="2" bestFit="1" customWidth="1"/>
    <col min="9730" max="9730" width="13.85546875" style="2" customWidth="1"/>
    <col min="9731" max="9731" width="10.85546875" style="2" bestFit="1" customWidth="1"/>
    <col min="9732" max="9732" width="15.28515625" style="2" bestFit="1" customWidth="1"/>
    <col min="9733" max="9733" width="13.5703125" style="2" bestFit="1" customWidth="1"/>
    <col min="9734" max="9983" width="8.42578125" style="2"/>
    <col min="9984" max="9984" width="38.7109375" style="2" bestFit="1" customWidth="1"/>
    <col min="9985" max="9985" width="13.5703125" style="2" bestFit="1" customWidth="1"/>
    <col min="9986" max="9986" width="13.85546875" style="2" customWidth="1"/>
    <col min="9987" max="9987" width="10.85546875" style="2" bestFit="1" customWidth="1"/>
    <col min="9988" max="9988" width="15.28515625" style="2" bestFit="1" customWidth="1"/>
    <col min="9989" max="9989" width="13.5703125" style="2" bestFit="1" customWidth="1"/>
    <col min="9990" max="10239" width="8.42578125" style="2"/>
    <col min="10240" max="10240" width="38.7109375" style="2" bestFit="1" customWidth="1"/>
    <col min="10241" max="10241" width="13.5703125" style="2" bestFit="1" customWidth="1"/>
    <col min="10242" max="10242" width="13.85546875" style="2" customWidth="1"/>
    <col min="10243" max="10243" width="10.85546875" style="2" bestFit="1" customWidth="1"/>
    <col min="10244" max="10244" width="15.28515625" style="2" bestFit="1" customWidth="1"/>
    <col min="10245" max="10245" width="13.5703125" style="2" bestFit="1" customWidth="1"/>
    <col min="10246" max="10495" width="8.42578125" style="2"/>
    <col min="10496" max="10496" width="38.7109375" style="2" bestFit="1" customWidth="1"/>
    <col min="10497" max="10497" width="13.5703125" style="2" bestFit="1" customWidth="1"/>
    <col min="10498" max="10498" width="13.85546875" style="2" customWidth="1"/>
    <col min="10499" max="10499" width="10.85546875" style="2" bestFit="1" customWidth="1"/>
    <col min="10500" max="10500" width="15.28515625" style="2" bestFit="1" customWidth="1"/>
    <col min="10501" max="10501" width="13.5703125" style="2" bestFit="1" customWidth="1"/>
    <col min="10502" max="10751" width="8.42578125" style="2"/>
    <col min="10752" max="10752" width="38.7109375" style="2" bestFit="1" customWidth="1"/>
    <col min="10753" max="10753" width="13.5703125" style="2" bestFit="1" customWidth="1"/>
    <col min="10754" max="10754" width="13.85546875" style="2" customWidth="1"/>
    <col min="10755" max="10755" width="10.85546875" style="2" bestFit="1" customWidth="1"/>
    <col min="10756" max="10756" width="15.28515625" style="2" bestFit="1" customWidth="1"/>
    <col min="10757" max="10757" width="13.5703125" style="2" bestFit="1" customWidth="1"/>
    <col min="10758" max="11007" width="8.42578125" style="2"/>
    <col min="11008" max="11008" width="38.7109375" style="2" bestFit="1" customWidth="1"/>
    <col min="11009" max="11009" width="13.5703125" style="2" bestFit="1" customWidth="1"/>
    <col min="11010" max="11010" width="13.85546875" style="2" customWidth="1"/>
    <col min="11011" max="11011" width="10.85546875" style="2" bestFit="1" customWidth="1"/>
    <col min="11012" max="11012" width="15.28515625" style="2" bestFit="1" customWidth="1"/>
    <col min="11013" max="11013" width="13.5703125" style="2" bestFit="1" customWidth="1"/>
    <col min="11014" max="11263" width="8.42578125" style="2"/>
    <col min="11264" max="11264" width="38.7109375" style="2" bestFit="1" customWidth="1"/>
    <col min="11265" max="11265" width="13.5703125" style="2" bestFit="1" customWidth="1"/>
    <col min="11266" max="11266" width="13.85546875" style="2" customWidth="1"/>
    <col min="11267" max="11267" width="10.85546875" style="2" bestFit="1" customWidth="1"/>
    <col min="11268" max="11268" width="15.28515625" style="2" bestFit="1" customWidth="1"/>
    <col min="11269" max="11269" width="13.5703125" style="2" bestFit="1" customWidth="1"/>
    <col min="11270" max="11519" width="8.42578125" style="2"/>
    <col min="11520" max="11520" width="38.7109375" style="2" bestFit="1" customWidth="1"/>
    <col min="11521" max="11521" width="13.5703125" style="2" bestFit="1" customWidth="1"/>
    <col min="11522" max="11522" width="13.85546875" style="2" customWidth="1"/>
    <col min="11523" max="11523" width="10.85546875" style="2" bestFit="1" customWidth="1"/>
    <col min="11524" max="11524" width="15.28515625" style="2" bestFit="1" customWidth="1"/>
    <col min="11525" max="11525" width="13.5703125" style="2" bestFit="1" customWidth="1"/>
    <col min="11526" max="11775" width="8.42578125" style="2"/>
    <col min="11776" max="11776" width="38.7109375" style="2" bestFit="1" customWidth="1"/>
    <col min="11777" max="11777" width="13.5703125" style="2" bestFit="1" customWidth="1"/>
    <col min="11778" max="11778" width="13.85546875" style="2" customWidth="1"/>
    <col min="11779" max="11779" width="10.85546875" style="2" bestFit="1" customWidth="1"/>
    <col min="11780" max="11780" width="15.28515625" style="2" bestFit="1" customWidth="1"/>
    <col min="11781" max="11781" width="13.5703125" style="2" bestFit="1" customWidth="1"/>
    <col min="11782" max="12031" width="8.42578125" style="2"/>
    <col min="12032" max="12032" width="38.7109375" style="2" bestFit="1" customWidth="1"/>
    <col min="12033" max="12033" width="13.5703125" style="2" bestFit="1" customWidth="1"/>
    <col min="12034" max="12034" width="13.85546875" style="2" customWidth="1"/>
    <col min="12035" max="12035" width="10.85546875" style="2" bestFit="1" customWidth="1"/>
    <col min="12036" max="12036" width="15.28515625" style="2" bestFit="1" customWidth="1"/>
    <col min="12037" max="12037" width="13.5703125" style="2" bestFit="1" customWidth="1"/>
    <col min="12038" max="12287" width="8.42578125" style="2"/>
    <col min="12288" max="12288" width="38.7109375" style="2" bestFit="1" customWidth="1"/>
    <col min="12289" max="12289" width="13.5703125" style="2" bestFit="1" customWidth="1"/>
    <col min="12290" max="12290" width="13.85546875" style="2" customWidth="1"/>
    <col min="12291" max="12291" width="10.85546875" style="2" bestFit="1" customWidth="1"/>
    <col min="12292" max="12292" width="15.28515625" style="2" bestFit="1" customWidth="1"/>
    <col min="12293" max="12293" width="13.5703125" style="2" bestFit="1" customWidth="1"/>
    <col min="12294" max="12543" width="8.42578125" style="2"/>
    <col min="12544" max="12544" width="38.7109375" style="2" bestFit="1" customWidth="1"/>
    <col min="12545" max="12545" width="13.5703125" style="2" bestFit="1" customWidth="1"/>
    <col min="12546" max="12546" width="13.85546875" style="2" customWidth="1"/>
    <col min="12547" max="12547" width="10.85546875" style="2" bestFit="1" customWidth="1"/>
    <col min="12548" max="12548" width="15.28515625" style="2" bestFit="1" customWidth="1"/>
    <col min="12549" max="12549" width="13.5703125" style="2" bestFit="1" customWidth="1"/>
    <col min="12550" max="12799" width="8.42578125" style="2"/>
    <col min="12800" max="12800" width="38.7109375" style="2" bestFit="1" customWidth="1"/>
    <col min="12801" max="12801" width="13.5703125" style="2" bestFit="1" customWidth="1"/>
    <col min="12802" max="12802" width="13.85546875" style="2" customWidth="1"/>
    <col min="12803" max="12803" width="10.85546875" style="2" bestFit="1" customWidth="1"/>
    <col min="12804" max="12804" width="15.28515625" style="2" bestFit="1" customWidth="1"/>
    <col min="12805" max="12805" width="13.5703125" style="2" bestFit="1" customWidth="1"/>
    <col min="12806" max="13055" width="8.42578125" style="2"/>
    <col min="13056" max="13056" width="38.7109375" style="2" bestFit="1" customWidth="1"/>
    <col min="13057" max="13057" width="13.5703125" style="2" bestFit="1" customWidth="1"/>
    <col min="13058" max="13058" width="13.85546875" style="2" customWidth="1"/>
    <col min="13059" max="13059" width="10.85546875" style="2" bestFit="1" customWidth="1"/>
    <col min="13060" max="13060" width="15.28515625" style="2" bestFit="1" customWidth="1"/>
    <col min="13061" max="13061" width="13.5703125" style="2" bestFit="1" customWidth="1"/>
    <col min="13062" max="13311" width="8.42578125" style="2"/>
    <col min="13312" max="13312" width="38.7109375" style="2" bestFit="1" customWidth="1"/>
    <col min="13313" max="13313" width="13.5703125" style="2" bestFit="1" customWidth="1"/>
    <col min="13314" max="13314" width="13.85546875" style="2" customWidth="1"/>
    <col min="13315" max="13315" width="10.85546875" style="2" bestFit="1" customWidth="1"/>
    <col min="13316" max="13316" width="15.28515625" style="2" bestFit="1" customWidth="1"/>
    <col min="13317" max="13317" width="13.5703125" style="2" bestFit="1" customWidth="1"/>
    <col min="13318" max="13567" width="8.42578125" style="2"/>
    <col min="13568" max="13568" width="38.7109375" style="2" bestFit="1" customWidth="1"/>
    <col min="13569" max="13569" width="13.5703125" style="2" bestFit="1" customWidth="1"/>
    <col min="13570" max="13570" width="13.85546875" style="2" customWidth="1"/>
    <col min="13571" max="13571" width="10.85546875" style="2" bestFit="1" customWidth="1"/>
    <col min="13572" max="13572" width="15.28515625" style="2" bestFit="1" customWidth="1"/>
    <col min="13573" max="13573" width="13.5703125" style="2" bestFit="1" customWidth="1"/>
    <col min="13574" max="13823" width="8.42578125" style="2"/>
    <col min="13824" max="13824" width="38.7109375" style="2" bestFit="1" customWidth="1"/>
    <col min="13825" max="13825" width="13.5703125" style="2" bestFit="1" customWidth="1"/>
    <col min="13826" max="13826" width="13.85546875" style="2" customWidth="1"/>
    <col min="13827" max="13827" width="10.85546875" style="2" bestFit="1" customWidth="1"/>
    <col min="13828" max="13828" width="15.28515625" style="2" bestFit="1" customWidth="1"/>
    <col min="13829" max="13829" width="13.5703125" style="2" bestFit="1" customWidth="1"/>
    <col min="13830" max="14079" width="8.42578125" style="2"/>
    <col min="14080" max="14080" width="38.7109375" style="2" bestFit="1" customWidth="1"/>
    <col min="14081" max="14081" width="13.5703125" style="2" bestFit="1" customWidth="1"/>
    <col min="14082" max="14082" width="13.85546875" style="2" customWidth="1"/>
    <col min="14083" max="14083" width="10.85546875" style="2" bestFit="1" customWidth="1"/>
    <col min="14084" max="14084" width="15.28515625" style="2" bestFit="1" customWidth="1"/>
    <col min="14085" max="14085" width="13.5703125" style="2" bestFit="1" customWidth="1"/>
    <col min="14086" max="14335" width="8.42578125" style="2"/>
    <col min="14336" max="14336" width="38.7109375" style="2" bestFit="1" customWidth="1"/>
    <col min="14337" max="14337" width="13.5703125" style="2" bestFit="1" customWidth="1"/>
    <col min="14338" max="14338" width="13.85546875" style="2" customWidth="1"/>
    <col min="14339" max="14339" width="10.85546875" style="2" bestFit="1" customWidth="1"/>
    <col min="14340" max="14340" width="15.28515625" style="2" bestFit="1" customWidth="1"/>
    <col min="14341" max="14341" width="13.5703125" style="2" bestFit="1" customWidth="1"/>
    <col min="14342" max="14591" width="8.42578125" style="2"/>
    <col min="14592" max="14592" width="38.7109375" style="2" bestFit="1" customWidth="1"/>
    <col min="14593" max="14593" width="13.5703125" style="2" bestFit="1" customWidth="1"/>
    <col min="14594" max="14594" width="13.85546875" style="2" customWidth="1"/>
    <col min="14595" max="14595" width="10.85546875" style="2" bestFit="1" customWidth="1"/>
    <col min="14596" max="14596" width="15.28515625" style="2" bestFit="1" customWidth="1"/>
    <col min="14597" max="14597" width="13.5703125" style="2" bestFit="1" customWidth="1"/>
    <col min="14598" max="14847" width="8.42578125" style="2"/>
    <col min="14848" max="14848" width="38.7109375" style="2" bestFit="1" customWidth="1"/>
    <col min="14849" max="14849" width="13.5703125" style="2" bestFit="1" customWidth="1"/>
    <col min="14850" max="14850" width="13.85546875" style="2" customWidth="1"/>
    <col min="14851" max="14851" width="10.85546875" style="2" bestFit="1" customWidth="1"/>
    <col min="14852" max="14852" width="15.28515625" style="2" bestFit="1" customWidth="1"/>
    <col min="14853" max="14853" width="13.5703125" style="2" bestFit="1" customWidth="1"/>
    <col min="14854" max="15103" width="8.42578125" style="2"/>
    <col min="15104" max="15104" width="38.7109375" style="2" bestFit="1" customWidth="1"/>
    <col min="15105" max="15105" width="13.5703125" style="2" bestFit="1" customWidth="1"/>
    <col min="15106" max="15106" width="13.85546875" style="2" customWidth="1"/>
    <col min="15107" max="15107" width="10.85546875" style="2" bestFit="1" customWidth="1"/>
    <col min="15108" max="15108" width="15.28515625" style="2" bestFit="1" customWidth="1"/>
    <col min="15109" max="15109" width="13.5703125" style="2" bestFit="1" customWidth="1"/>
    <col min="15110" max="15359" width="8.42578125" style="2"/>
    <col min="15360" max="15360" width="38.7109375" style="2" bestFit="1" customWidth="1"/>
    <col min="15361" max="15361" width="13.5703125" style="2" bestFit="1" customWidth="1"/>
    <col min="15362" max="15362" width="13.85546875" style="2" customWidth="1"/>
    <col min="15363" max="15363" width="10.85546875" style="2" bestFit="1" customWidth="1"/>
    <col min="15364" max="15364" width="15.28515625" style="2" bestFit="1" customWidth="1"/>
    <col min="15365" max="15365" width="13.5703125" style="2" bestFit="1" customWidth="1"/>
    <col min="15366" max="15615" width="8.42578125" style="2"/>
    <col min="15616" max="15616" width="38.7109375" style="2" bestFit="1" customWidth="1"/>
    <col min="15617" max="15617" width="13.5703125" style="2" bestFit="1" customWidth="1"/>
    <col min="15618" max="15618" width="13.85546875" style="2" customWidth="1"/>
    <col min="15619" max="15619" width="10.85546875" style="2" bestFit="1" customWidth="1"/>
    <col min="15620" max="15620" width="15.28515625" style="2" bestFit="1" customWidth="1"/>
    <col min="15621" max="15621" width="13.5703125" style="2" bestFit="1" customWidth="1"/>
    <col min="15622" max="15871" width="8.42578125" style="2"/>
    <col min="15872" max="15872" width="38.7109375" style="2" bestFit="1" customWidth="1"/>
    <col min="15873" max="15873" width="13.5703125" style="2" bestFit="1" customWidth="1"/>
    <col min="15874" max="15874" width="13.85546875" style="2" customWidth="1"/>
    <col min="15875" max="15875" width="10.85546875" style="2" bestFit="1" customWidth="1"/>
    <col min="15876" max="15876" width="15.28515625" style="2" bestFit="1" customWidth="1"/>
    <col min="15877" max="15877" width="13.5703125" style="2" bestFit="1" customWidth="1"/>
    <col min="15878" max="16127" width="8.42578125" style="2"/>
    <col min="16128" max="16128" width="38.7109375" style="2" bestFit="1" customWidth="1"/>
    <col min="16129" max="16129" width="13.5703125" style="2" bestFit="1" customWidth="1"/>
    <col min="16130" max="16130" width="13.85546875" style="2" customWidth="1"/>
    <col min="16131" max="16131" width="10.85546875" style="2" bestFit="1" customWidth="1"/>
    <col min="16132" max="16132" width="15.28515625" style="2" bestFit="1" customWidth="1"/>
    <col min="16133" max="16133" width="13.5703125" style="2" bestFit="1" customWidth="1"/>
    <col min="16134" max="16384" width="8.42578125" style="2"/>
  </cols>
  <sheetData>
    <row r="1" spans="1:6" ht="13.5" thickBot="1" x14ac:dyDescent="0.25">
      <c r="A1" s="1" t="s">
        <v>0</v>
      </c>
      <c r="C1" s="3" t="s">
        <v>1</v>
      </c>
      <c r="D1" s="1"/>
      <c r="E1" s="4" t="s">
        <v>2</v>
      </c>
      <c r="F1" s="5" t="s">
        <v>3</v>
      </c>
    </row>
    <row r="3" spans="1:6" ht="13.5" thickBot="1" x14ac:dyDescent="0.25"/>
    <row r="4" spans="1:6" ht="13.5" thickBot="1" x14ac:dyDescent="0.25">
      <c r="C4" s="5" t="s">
        <v>4</v>
      </c>
      <c r="D4" s="6"/>
      <c r="E4" s="5" t="s">
        <v>5</v>
      </c>
    </row>
    <row r="5" spans="1:6" ht="13.5" thickBot="1" x14ac:dyDescent="0.25">
      <c r="A5" s="7" t="s">
        <v>6</v>
      </c>
      <c r="C5" s="8"/>
      <c r="D5" s="8"/>
      <c r="E5" s="8"/>
    </row>
    <row r="6" spans="1:6" x14ac:dyDescent="0.2">
      <c r="C6" s="8"/>
      <c r="D6" s="8"/>
      <c r="E6" s="8"/>
    </row>
    <row r="7" spans="1:6" x14ac:dyDescent="0.2">
      <c r="A7" s="9" t="s">
        <v>7</v>
      </c>
      <c r="C7" s="10">
        <v>0</v>
      </c>
      <c r="D7" s="8"/>
      <c r="E7" s="8"/>
    </row>
    <row r="8" spans="1:6" x14ac:dyDescent="0.2">
      <c r="A8" s="6" t="s">
        <v>8</v>
      </c>
      <c r="B8" s="11">
        <v>0</v>
      </c>
      <c r="C8" s="8"/>
      <c r="D8" s="8"/>
      <c r="E8" s="8"/>
    </row>
    <row r="9" spans="1:6" x14ac:dyDescent="0.2">
      <c r="A9" s="6" t="s">
        <v>9</v>
      </c>
      <c r="B9" s="11">
        <v>0</v>
      </c>
      <c r="C9" s="8"/>
      <c r="D9" s="8"/>
      <c r="E9" s="8"/>
    </row>
    <row r="10" spans="1:6" x14ac:dyDescent="0.2">
      <c r="A10" s="9" t="s">
        <v>10</v>
      </c>
      <c r="C10" s="10">
        <f>B11</f>
        <v>14677.98</v>
      </c>
      <c r="D10" s="8"/>
      <c r="E10" s="8"/>
    </row>
    <row r="11" spans="1:6" ht="13.5" thickBot="1" x14ac:dyDescent="0.25">
      <c r="A11" s="6" t="s">
        <v>11</v>
      </c>
      <c r="B11" s="10">
        <v>14677.98</v>
      </c>
      <c r="C11" s="8"/>
      <c r="D11" s="8"/>
      <c r="E11" s="8"/>
    </row>
    <row r="12" spans="1:6" ht="13.5" thickBot="1" x14ac:dyDescent="0.25">
      <c r="B12" s="12"/>
      <c r="C12" s="13"/>
      <c r="D12" s="8"/>
      <c r="E12" s="8"/>
    </row>
    <row r="13" spans="1:6" x14ac:dyDescent="0.2">
      <c r="A13" s="6" t="s">
        <v>12</v>
      </c>
      <c r="C13" s="8"/>
      <c r="D13" s="8"/>
      <c r="E13" s="8"/>
    </row>
    <row r="14" spans="1:6" x14ac:dyDescent="0.2">
      <c r="C14" s="8"/>
      <c r="D14" s="8"/>
      <c r="E14" s="8"/>
    </row>
    <row r="15" spans="1:6" x14ac:dyDescent="0.2">
      <c r="A15" s="9" t="s">
        <v>13</v>
      </c>
      <c r="C15" s="8"/>
      <c r="D15" s="8"/>
      <c r="E15" s="8"/>
    </row>
    <row r="16" spans="1:6" x14ac:dyDescent="0.2">
      <c r="A16" s="9" t="s">
        <v>14</v>
      </c>
      <c r="C16" s="10">
        <v>0</v>
      </c>
      <c r="D16" s="8"/>
      <c r="E16" s="8"/>
    </row>
    <row r="17" spans="1:5" x14ac:dyDescent="0.2">
      <c r="A17" s="14"/>
      <c r="C17" s="8"/>
      <c r="D17" s="8"/>
      <c r="E17" s="8"/>
    </row>
    <row r="18" spans="1:5" ht="15.75" thickBot="1" x14ac:dyDescent="0.3">
      <c r="A18" s="15"/>
      <c r="B18" s="11"/>
      <c r="C18" s="8"/>
      <c r="D18" s="8"/>
      <c r="E18" s="8"/>
    </row>
    <row r="19" spans="1:5" ht="13.5" thickBot="1" x14ac:dyDescent="0.25">
      <c r="C19" s="13">
        <f>SUM(C7+C10)</f>
        <v>14677.98</v>
      </c>
      <c r="D19" s="8"/>
      <c r="E19" s="13">
        <f>SUM(E21:E39)</f>
        <v>14677.98</v>
      </c>
    </row>
    <row r="20" spans="1:5" ht="15" x14ac:dyDescent="0.25">
      <c r="A20" s="15"/>
      <c r="C20" s="8"/>
      <c r="D20" s="8"/>
      <c r="E20" s="8"/>
    </row>
    <row r="21" spans="1:5" ht="13.5" thickBot="1" x14ac:dyDescent="0.25">
      <c r="A21" s="9"/>
      <c r="B21" s="9"/>
      <c r="C21" s="16"/>
      <c r="D21" s="8"/>
      <c r="E21" s="10">
        <f>+C22</f>
        <v>13077.98</v>
      </c>
    </row>
    <row r="22" spans="1:5" ht="13.5" thickBot="1" x14ac:dyDescent="0.25">
      <c r="A22" s="17" t="s">
        <v>15</v>
      </c>
      <c r="B22" s="9"/>
      <c r="C22" s="18">
        <f>+B11-E26-E32-E39</f>
        <v>13077.98</v>
      </c>
      <c r="D22" s="8"/>
      <c r="E22" s="8"/>
    </row>
    <row r="23" spans="1:5" ht="13.5" thickBot="1" x14ac:dyDescent="0.25">
      <c r="A23" s="17"/>
      <c r="B23" s="9"/>
      <c r="C23" s="16"/>
      <c r="D23" s="8"/>
      <c r="E23" s="8"/>
    </row>
    <row r="24" spans="1:5" ht="13.5" thickBot="1" x14ac:dyDescent="0.25">
      <c r="A24" s="6"/>
      <c r="B24" s="6"/>
      <c r="C24" s="18" t="s">
        <v>16</v>
      </c>
      <c r="D24" s="8"/>
      <c r="E24" s="8"/>
    </row>
    <row r="25" spans="1:5" ht="13.5" thickBot="1" x14ac:dyDescent="0.25">
      <c r="A25" s="6"/>
      <c r="B25" s="9"/>
      <c r="C25" s="16"/>
      <c r="D25" s="8"/>
      <c r="E25" s="8"/>
    </row>
    <row r="26" spans="1:5" ht="13.5" thickBot="1" x14ac:dyDescent="0.25">
      <c r="A26" s="19" t="s">
        <v>17</v>
      </c>
      <c r="B26" s="9"/>
      <c r="C26" s="16"/>
      <c r="D26" s="8"/>
      <c r="E26" s="10">
        <f>SUM(C27:C31)</f>
        <v>0</v>
      </c>
    </row>
    <row r="27" spans="1:5" x14ac:dyDescent="0.2">
      <c r="A27" s="20" t="s">
        <v>18</v>
      </c>
      <c r="C27" s="16">
        <v>0</v>
      </c>
      <c r="D27" s="8"/>
      <c r="E27" s="8"/>
    </row>
    <row r="28" spans="1:5" x14ac:dyDescent="0.2">
      <c r="A28" s="9" t="s">
        <v>19</v>
      </c>
      <c r="C28" s="16">
        <v>0</v>
      </c>
      <c r="D28" s="8"/>
      <c r="E28" s="8"/>
    </row>
    <row r="29" spans="1:5" x14ac:dyDescent="0.2">
      <c r="A29" s="9" t="s">
        <v>20</v>
      </c>
      <c r="C29" s="16">
        <v>0</v>
      </c>
      <c r="D29" s="8"/>
      <c r="E29" s="8"/>
    </row>
    <row r="30" spans="1:5" x14ac:dyDescent="0.2">
      <c r="A30" s="9" t="s">
        <v>21</v>
      </c>
      <c r="B30" s="9"/>
      <c r="C30" s="16">
        <v>0</v>
      </c>
      <c r="D30" s="8"/>
      <c r="E30" s="8"/>
    </row>
    <row r="31" spans="1:5" ht="13.5" thickBot="1" x14ac:dyDescent="0.25">
      <c r="A31" s="9" t="s">
        <v>22</v>
      </c>
      <c r="B31" s="9"/>
      <c r="C31" s="16">
        <v>0</v>
      </c>
      <c r="D31" s="8"/>
      <c r="E31" s="8"/>
    </row>
    <row r="32" spans="1:5" ht="13.5" thickBot="1" x14ac:dyDescent="0.25">
      <c r="A32" s="19" t="s">
        <v>23</v>
      </c>
      <c r="C32" s="8"/>
      <c r="D32" s="8"/>
      <c r="E32" s="21">
        <f>SUM(C33:C38)</f>
        <v>1600</v>
      </c>
    </row>
    <row r="33" spans="1:5" x14ac:dyDescent="0.2">
      <c r="A33" s="9" t="s">
        <v>24</v>
      </c>
      <c r="C33" s="16">
        <v>0</v>
      </c>
      <c r="D33" s="8"/>
      <c r="E33" s="22"/>
    </row>
    <row r="34" spans="1:5" x14ac:dyDescent="0.2">
      <c r="A34" s="9" t="s">
        <v>25</v>
      </c>
      <c r="C34" s="16">
        <v>1600</v>
      </c>
      <c r="D34" s="8"/>
      <c r="E34" s="8"/>
    </row>
    <row r="35" spans="1:5" x14ac:dyDescent="0.2">
      <c r="A35" s="9" t="s">
        <v>26</v>
      </c>
      <c r="C35" s="16">
        <v>0</v>
      </c>
      <c r="D35" s="8"/>
      <c r="E35" s="8"/>
    </row>
    <row r="36" spans="1:5" x14ac:dyDescent="0.2">
      <c r="A36" s="9" t="s">
        <v>27</v>
      </c>
      <c r="C36" s="16">
        <v>0</v>
      </c>
      <c r="D36" s="8"/>
      <c r="E36" s="8"/>
    </row>
    <row r="37" spans="1:5" x14ac:dyDescent="0.2">
      <c r="A37" s="9" t="s">
        <v>28</v>
      </c>
      <c r="B37" s="9"/>
      <c r="C37" s="16">
        <v>0</v>
      </c>
      <c r="D37" s="8"/>
      <c r="E37" s="23"/>
    </row>
    <row r="38" spans="1:5" ht="13.5" thickBot="1" x14ac:dyDescent="0.25">
      <c r="A38" s="24"/>
      <c r="B38" s="9"/>
      <c r="C38" s="16"/>
      <c r="D38" s="8"/>
      <c r="E38" s="23"/>
    </row>
    <row r="39" spans="1:5" ht="13.5" thickBot="1" x14ac:dyDescent="0.25">
      <c r="A39" s="19" t="s">
        <v>29</v>
      </c>
      <c r="B39" s="9"/>
      <c r="C39" s="16"/>
      <c r="D39" s="8"/>
      <c r="E39" s="25">
        <f>SUM(C40:C45)</f>
        <v>0</v>
      </c>
    </row>
    <row r="40" spans="1:5" x14ac:dyDescent="0.2">
      <c r="A40" s="9" t="s">
        <v>30</v>
      </c>
      <c r="B40" s="9"/>
      <c r="C40" s="16">
        <v>0</v>
      </c>
      <c r="D40" s="8"/>
      <c r="E40" s="8"/>
    </row>
    <row r="41" spans="1:5" x14ac:dyDescent="0.2">
      <c r="A41" s="9" t="s">
        <v>31</v>
      </c>
      <c r="B41" s="9"/>
      <c r="C41" s="16">
        <v>0</v>
      </c>
      <c r="D41" s="8"/>
      <c r="E41" s="8"/>
    </row>
    <row r="42" spans="1:5" x14ac:dyDescent="0.2">
      <c r="A42" s="9" t="s">
        <v>32</v>
      </c>
      <c r="B42" s="9"/>
      <c r="C42" s="16">
        <v>0</v>
      </c>
      <c r="D42" s="8"/>
      <c r="E42" s="8"/>
    </row>
    <row r="43" spans="1:5" x14ac:dyDescent="0.2">
      <c r="A43" s="9" t="s">
        <v>33</v>
      </c>
      <c r="B43" s="9"/>
      <c r="C43" s="16">
        <v>0</v>
      </c>
      <c r="D43" s="8"/>
      <c r="E43" s="8"/>
    </row>
    <row r="44" spans="1:5" x14ac:dyDescent="0.2">
      <c r="A44" s="9" t="s">
        <v>34</v>
      </c>
      <c r="B44" s="9"/>
      <c r="C44" s="16">
        <v>0</v>
      </c>
      <c r="D44" s="8"/>
      <c r="E44" s="8"/>
    </row>
    <row r="45" spans="1:5" ht="13.5" thickBot="1" x14ac:dyDescent="0.25">
      <c r="A45" s="9" t="s">
        <v>35</v>
      </c>
      <c r="B45" s="9"/>
      <c r="C45" s="16">
        <v>0</v>
      </c>
      <c r="D45" s="8"/>
      <c r="E45" s="8"/>
    </row>
    <row r="46" spans="1:5" ht="13.5" thickBot="1" x14ac:dyDescent="0.25">
      <c r="B46" s="26"/>
      <c r="C46" s="13" t="s">
        <v>36</v>
      </c>
      <c r="D46" s="8"/>
      <c r="E46" s="8">
        <f>SUM(E26:E45)</f>
        <v>1600</v>
      </c>
    </row>
    <row r="47" spans="1:5" ht="13.5" thickBot="1" x14ac:dyDescent="0.25">
      <c r="A47" s="5" t="s">
        <v>37</v>
      </c>
      <c r="B47" s="27"/>
      <c r="C47" s="27"/>
      <c r="D47" s="13" t="s">
        <v>38</v>
      </c>
      <c r="E47" s="13"/>
    </row>
  </sheetData>
  <sheetProtection algorithmName="SHA-512" hashValue="KwYxgG0CbbRS68wSYjvO08COwaQD5t+bkPgkgba8Obnp0wCGQnKnPnNDLtvIsNtpvWYyMv+QLfA3TPFTlmdodA==" saltValue="LnLmtnY21UusyxRg6LeKqA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83E11-BCB2-4071-97EA-653F3132B8E4}">
  <dimension ref="A1:G63"/>
  <sheetViews>
    <sheetView topLeftCell="A17" workbookViewId="0">
      <selection activeCell="C14" sqref="C14"/>
    </sheetView>
  </sheetViews>
  <sheetFormatPr baseColWidth="10" defaultRowHeight="20.25" x14ac:dyDescent="0.3"/>
  <cols>
    <col min="1" max="1" width="82.85546875" style="30" bestFit="1" customWidth="1"/>
    <col min="2" max="3" width="17.28515625" style="30" customWidth="1"/>
    <col min="4" max="4" width="14.85546875" style="30" customWidth="1"/>
    <col min="5" max="254" width="11.42578125" style="30"/>
    <col min="255" max="255" width="86.5703125" style="30" bestFit="1" customWidth="1"/>
    <col min="256" max="256" width="30.42578125" style="30" customWidth="1"/>
    <col min="257" max="257" width="20.85546875" style="30" customWidth="1"/>
    <col min="258" max="258" width="22" style="30" bestFit="1" customWidth="1"/>
    <col min="259" max="259" width="16.7109375" style="30" customWidth="1"/>
    <col min="260" max="510" width="11.42578125" style="30"/>
    <col min="511" max="511" width="86.5703125" style="30" bestFit="1" customWidth="1"/>
    <col min="512" max="512" width="30.42578125" style="30" customWidth="1"/>
    <col min="513" max="513" width="20.85546875" style="30" customWidth="1"/>
    <col min="514" max="514" width="22" style="30" bestFit="1" customWidth="1"/>
    <col min="515" max="515" width="16.7109375" style="30" customWidth="1"/>
    <col min="516" max="766" width="11.42578125" style="30"/>
    <col min="767" max="767" width="86.5703125" style="30" bestFit="1" customWidth="1"/>
    <col min="768" max="768" width="30.42578125" style="30" customWidth="1"/>
    <col min="769" max="769" width="20.85546875" style="30" customWidth="1"/>
    <col min="770" max="770" width="22" style="30" bestFit="1" customWidth="1"/>
    <col min="771" max="771" width="16.7109375" style="30" customWidth="1"/>
    <col min="772" max="1022" width="11.42578125" style="30"/>
    <col min="1023" max="1023" width="86.5703125" style="30" bestFit="1" customWidth="1"/>
    <col min="1024" max="1024" width="30.42578125" style="30" customWidth="1"/>
    <col min="1025" max="1025" width="20.85546875" style="30" customWidth="1"/>
    <col min="1026" max="1026" width="22" style="30" bestFit="1" customWidth="1"/>
    <col min="1027" max="1027" width="16.7109375" style="30" customWidth="1"/>
    <col min="1028" max="1278" width="11.42578125" style="30"/>
    <col min="1279" max="1279" width="86.5703125" style="30" bestFit="1" customWidth="1"/>
    <col min="1280" max="1280" width="30.42578125" style="30" customWidth="1"/>
    <col min="1281" max="1281" width="20.85546875" style="30" customWidth="1"/>
    <col min="1282" max="1282" width="22" style="30" bestFit="1" customWidth="1"/>
    <col min="1283" max="1283" width="16.7109375" style="30" customWidth="1"/>
    <col min="1284" max="1534" width="11.42578125" style="30"/>
    <col min="1535" max="1535" width="86.5703125" style="30" bestFit="1" customWidth="1"/>
    <col min="1536" max="1536" width="30.42578125" style="30" customWidth="1"/>
    <col min="1537" max="1537" width="20.85546875" style="30" customWidth="1"/>
    <col min="1538" max="1538" width="22" style="30" bestFit="1" customWidth="1"/>
    <col min="1539" max="1539" width="16.7109375" style="30" customWidth="1"/>
    <col min="1540" max="1790" width="11.42578125" style="30"/>
    <col min="1791" max="1791" width="86.5703125" style="30" bestFit="1" customWidth="1"/>
    <col min="1792" max="1792" width="30.42578125" style="30" customWidth="1"/>
    <col min="1793" max="1793" width="20.85546875" style="30" customWidth="1"/>
    <col min="1794" max="1794" width="22" style="30" bestFit="1" customWidth="1"/>
    <col min="1795" max="1795" width="16.7109375" style="30" customWidth="1"/>
    <col min="1796" max="2046" width="11.42578125" style="30"/>
    <col min="2047" max="2047" width="86.5703125" style="30" bestFit="1" customWidth="1"/>
    <col min="2048" max="2048" width="30.42578125" style="30" customWidth="1"/>
    <col min="2049" max="2049" width="20.85546875" style="30" customWidth="1"/>
    <col min="2050" max="2050" width="22" style="30" bestFit="1" customWidth="1"/>
    <col min="2051" max="2051" width="16.7109375" style="30" customWidth="1"/>
    <col min="2052" max="2302" width="11.42578125" style="30"/>
    <col min="2303" max="2303" width="86.5703125" style="30" bestFit="1" customWidth="1"/>
    <col min="2304" max="2304" width="30.42578125" style="30" customWidth="1"/>
    <col min="2305" max="2305" width="20.85546875" style="30" customWidth="1"/>
    <col min="2306" max="2306" width="22" style="30" bestFit="1" customWidth="1"/>
    <col min="2307" max="2307" width="16.7109375" style="30" customWidth="1"/>
    <col min="2308" max="2558" width="11.42578125" style="30"/>
    <col min="2559" max="2559" width="86.5703125" style="30" bestFit="1" customWidth="1"/>
    <col min="2560" max="2560" width="30.42578125" style="30" customWidth="1"/>
    <col min="2561" max="2561" width="20.85546875" style="30" customWidth="1"/>
    <col min="2562" max="2562" width="22" style="30" bestFit="1" customWidth="1"/>
    <col min="2563" max="2563" width="16.7109375" style="30" customWidth="1"/>
    <col min="2564" max="2814" width="11.42578125" style="30"/>
    <col min="2815" max="2815" width="86.5703125" style="30" bestFit="1" customWidth="1"/>
    <col min="2816" max="2816" width="30.42578125" style="30" customWidth="1"/>
    <col min="2817" max="2817" width="20.85546875" style="30" customWidth="1"/>
    <col min="2818" max="2818" width="22" style="30" bestFit="1" customWidth="1"/>
    <col min="2819" max="2819" width="16.7109375" style="30" customWidth="1"/>
    <col min="2820" max="3070" width="11.42578125" style="30"/>
    <col min="3071" max="3071" width="86.5703125" style="30" bestFit="1" customWidth="1"/>
    <col min="3072" max="3072" width="30.42578125" style="30" customWidth="1"/>
    <col min="3073" max="3073" width="20.85546875" style="30" customWidth="1"/>
    <col min="3074" max="3074" width="22" style="30" bestFit="1" customWidth="1"/>
    <col min="3075" max="3075" width="16.7109375" style="30" customWidth="1"/>
    <col min="3076" max="3326" width="11.42578125" style="30"/>
    <col min="3327" max="3327" width="86.5703125" style="30" bestFit="1" customWidth="1"/>
    <col min="3328" max="3328" width="30.42578125" style="30" customWidth="1"/>
    <col min="3329" max="3329" width="20.85546875" style="30" customWidth="1"/>
    <col min="3330" max="3330" width="22" style="30" bestFit="1" customWidth="1"/>
    <col min="3331" max="3331" width="16.7109375" style="30" customWidth="1"/>
    <col min="3332" max="3582" width="11.42578125" style="30"/>
    <col min="3583" max="3583" width="86.5703125" style="30" bestFit="1" customWidth="1"/>
    <col min="3584" max="3584" width="30.42578125" style="30" customWidth="1"/>
    <col min="3585" max="3585" width="20.85546875" style="30" customWidth="1"/>
    <col min="3586" max="3586" width="22" style="30" bestFit="1" customWidth="1"/>
    <col min="3587" max="3587" width="16.7109375" style="30" customWidth="1"/>
    <col min="3588" max="3838" width="11.42578125" style="30"/>
    <col min="3839" max="3839" width="86.5703125" style="30" bestFit="1" customWidth="1"/>
    <col min="3840" max="3840" width="30.42578125" style="30" customWidth="1"/>
    <col min="3841" max="3841" width="20.85546875" style="30" customWidth="1"/>
    <col min="3842" max="3842" width="22" style="30" bestFit="1" customWidth="1"/>
    <col min="3843" max="3843" width="16.7109375" style="30" customWidth="1"/>
    <col min="3844" max="4094" width="11.42578125" style="30"/>
    <col min="4095" max="4095" width="86.5703125" style="30" bestFit="1" customWidth="1"/>
    <col min="4096" max="4096" width="30.42578125" style="30" customWidth="1"/>
    <col min="4097" max="4097" width="20.85546875" style="30" customWidth="1"/>
    <col min="4098" max="4098" width="22" style="30" bestFit="1" customWidth="1"/>
    <col min="4099" max="4099" width="16.7109375" style="30" customWidth="1"/>
    <col min="4100" max="4350" width="11.42578125" style="30"/>
    <col min="4351" max="4351" width="86.5703125" style="30" bestFit="1" customWidth="1"/>
    <col min="4352" max="4352" width="30.42578125" style="30" customWidth="1"/>
    <col min="4353" max="4353" width="20.85546875" style="30" customWidth="1"/>
    <col min="4354" max="4354" width="22" style="30" bestFit="1" customWidth="1"/>
    <col min="4355" max="4355" width="16.7109375" style="30" customWidth="1"/>
    <col min="4356" max="4606" width="11.42578125" style="30"/>
    <col min="4607" max="4607" width="86.5703125" style="30" bestFit="1" customWidth="1"/>
    <col min="4608" max="4608" width="30.42578125" style="30" customWidth="1"/>
    <col min="4609" max="4609" width="20.85546875" style="30" customWidth="1"/>
    <col min="4610" max="4610" width="22" style="30" bestFit="1" customWidth="1"/>
    <col min="4611" max="4611" width="16.7109375" style="30" customWidth="1"/>
    <col min="4612" max="4862" width="11.42578125" style="30"/>
    <col min="4863" max="4863" width="86.5703125" style="30" bestFit="1" customWidth="1"/>
    <col min="4864" max="4864" width="30.42578125" style="30" customWidth="1"/>
    <col min="4865" max="4865" width="20.85546875" style="30" customWidth="1"/>
    <col min="4866" max="4866" width="22" style="30" bestFit="1" customWidth="1"/>
    <col min="4867" max="4867" width="16.7109375" style="30" customWidth="1"/>
    <col min="4868" max="5118" width="11.42578125" style="30"/>
    <col min="5119" max="5119" width="86.5703125" style="30" bestFit="1" customWidth="1"/>
    <col min="5120" max="5120" width="30.42578125" style="30" customWidth="1"/>
    <col min="5121" max="5121" width="20.85546875" style="30" customWidth="1"/>
    <col min="5122" max="5122" width="22" style="30" bestFit="1" customWidth="1"/>
    <col min="5123" max="5123" width="16.7109375" style="30" customWidth="1"/>
    <col min="5124" max="5374" width="11.42578125" style="30"/>
    <col min="5375" max="5375" width="86.5703125" style="30" bestFit="1" customWidth="1"/>
    <col min="5376" max="5376" width="30.42578125" style="30" customWidth="1"/>
    <col min="5377" max="5377" width="20.85546875" style="30" customWidth="1"/>
    <col min="5378" max="5378" width="22" style="30" bestFit="1" customWidth="1"/>
    <col min="5379" max="5379" width="16.7109375" style="30" customWidth="1"/>
    <col min="5380" max="5630" width="11.42578125" style="30"/>
    <col min="5631" max="5631" width="86.5703125" style="30" bestFit="1" customWidth="1"/>
    <col min="5632" max="5632" width="30.42578125" style="30" customWidth="1"/>
    <col min="5633" max="5633" width="20.85546875" style="30" customWidth="1"/>
    <col min="5634" max="5634" width="22" style="30" bestFit="1" customWidth="1"/>
    <col min="5635" max="5635" width="16.7109375" style="30" customWidth="1"/>
    <col min="5636" max="5886" width="11.42578125" style="30"/>
    <col min="5887" max="5887" width="86.5703125" style="30" bestFit="1" customWidth="1"/>
    <col min="5888" max="5888" width="30.42578125" style="30" customWidth="1"/>
    <col min="5889" max="5889" width="20.85546875" style="30" customWidth="1"/>
    <col min="5890" max="5890" width="22" style="30" bestFit="1" customWidth="1"/>
    <col min="5891" max="5891" width="16.7109375" style="30" customWidth="1"/>
    <col min="5892" max="6142" width="11.42578125" style="30"/>
    <col min="6143" max="6143" width="86.5703125" style="30" bestFit="1" customWidth="1"/>
    <col min="6144" max="6144" width="30.42578125" style="30" customWidth="1"/>
    <col min="6145" max="6145" width="20.85546875" style="30" customWidth="1"/>
    <col min="6146" max="6146" width="22" style="30" bestFit="1" customWidth="1"/>
    <col min="6147" max="6147" width="16.7109375" style="30" customWidth="1"/>
    <col min="6148" max="6398" width="11.42578125" style="30"/>
    <col min="6399" max="6399" width="86.5703125" style="30" bestFit="1" customWidth="1"/>
    <col min="6400" max="6400" width="30.42578125" style="30" customWidth="1"/>
    <col min="6401" max="6401" width="20.85546875" style="30" customWidth="1"/>
    <col min="6402" max="6402" width="22" style="30" bestFit="1" customWidth="1"/>
    <col min="6403" max="6403" width="16.7109375" style="30" customWidth="1"/>
    <col min="6404" max="6654" width="11.42578125" style="30"/>
    <col min="6655" max="6655" width="86.5703125" style="30" bestFit="1" customWidth="1"/>
    <col min="6656" max="6656" width="30.42578125" style="30" customWidth="1"/>
    <col min="6657" max="6657" width="20.85546875" style="30" customWidth="1"/>
    <col min="6658" max="6658" width="22" style="30" bestFit="1" customWidth="1"/>
    <col min="6659" max="6659" width="16.7109375" style="30" customWidth="1"/>
    <col min="6660" max="6910" width="11.42578125" style="30"/>
    <col min="6911" max="6911" width="86.5703125" style="30" bestFit="1" customWidth="1"/>
    <col min="6912" max="6912" width="30.42578125" style="30" customWidth="1"/>
    <col min="6913" max="6913" width="20.85546875" style="30" customWidth="1"/>
    <col min="6914" max="6914" width="22" style="30" bestFit="1" customWidth="1"/>
    <col min="6915" max="6915" width="16.7109375" style="30" customWidth="1"/>
    <col min="6916" max="7166" width="11.42578125" style="30"/>
    <col min="7167" max="7167" width="86.5703125" style="30" bestFit="1" customWidth="1"/>
    <col min="7168" max="7168" width="30.42578125" style="30" customWidth="1"/>
    <col min="7169" max="7169" width="20.85546875" style="30" customWidth="1"/>
    <col min="7170" max="7170" width="22" style="30" bestFit="1" customWidth="1"/>
    <col min="7171" max="7171" width="16.7109375" style="30" customWidth="1"/>
    <col min="7172" max="7422" width="11.42578125" style="30"/>
    <col min="7423" max="7423" width="86.5703125" style="30" bestFit="1" customWidth="1"/>
    <col min="7424" max="7424" width="30.42578125" style="30" customWidth="1"/>
    <col min="7425" max="7425" width="20.85546875" style="30" customWidth="1"/>
    <col min="7426" max="7426" width="22" style="30" bestFit="1" customWidth="1"/>
    <col min="7427" max="7427" width="16.7109375" style="30" customWidth="1"/>
    <col min="7428" max="7678" width="11.42578125" style="30"/>
    <col min="7679" max="7679" width="86.5703125" style="30" bestFit="1" customWidth="1"/>
    <col min="7680" max="7680" width="30.42578125" style="30" customWidth="1"/>
    <col min="7681" max="7681" width="20.85546875" style="30" customWidth="1"/>
    <col min="7682" max="7682" width="22" style="30" bestFit="1" customWidth="1"/>
    <col min="7683" max="7683" width="16.7109375" style="30" customWidth="1"/>
    <col min="7684" max="7934" width="11.42578125" style="30"/>
    <col min="7935" max="7935" width="86.5703125" style="30" bestFit="1" customWidth="1"/>
    <col min="7936" max="7936" width="30.42578125" style="30" customWidth="1"/>
    <col min="7937" max="7937" width="20.85546875" style="30" customWidth="1"/>
    <col min="7938" max="7938" width="22" style="30" bestFit="1" customWidth="1"/>
    <col min="7939" max="7939" width="16.7109375" style="30" customWidth="1"/>
    <col min="7940" max="8190" width="11.42578125" style="30"/>
    <col min="8191" max="8191" width="86.5703125" style="30" bestFit="1" customWidth="1"/>
    <col min="8192" max="8192" width="30.42578125" style="30" customWidth="1"/>
    <col min="8193" max="8193" width="20.85546875" style="30" customWidth="1"/>
    <col min="8194" max="8194" width="22" style="30" bestFit="1" customWidth="1"/>
    <col min="8195" max="8195" width="16.7109375" style="30" customWidth="1"/>
    <col min="8196" max="8446" width="11.42578125" style="30"/>
    <col min="8447" max="8447" width="86.5703125" style="30" bestFit="1" customWidth="1"/>
    <col min="8448" max="8448" width="30.42578125" style="30" customWidth="1"/>
    <col min="8449" max="8449" width="20.85546875" style="30" customWidth="1"/>
    <col min="8450" max="8450" width="22" style="30" bestFit="1" customWidth="1"/>
    <col min="8451" max="8451" width="16.7109375" style="30" customWidth="1"/>
    <col min="8452" max="8702" width="11.42578125" style="30"/>
    <col min="8703" max="8703" width="86.5703125" style="30" bestFit="1" customWidth="1"/>
    <col min="8704" max="8704" width="30.42578125" style="30" customWidth="1"/>
    <col min="8705" max="8705" width="20.85546875" style="30" customWidth="1"/>
    <col min="8706" max="8706" width="22" style="30" bestFit="1" customWidth="1"/>
    <col min="8707" max="8707" width="16.7109375" style="30" customWidth="1"/>
    <col min="8708" max="8958" width="11.42578125" style="30"/>
    <col min="8959" max="8959" width="86.5703125" style="30" bestFit="1" customWidth="1"/>
    <col min="8960" max="8960" width="30.42578125" style="30" customWidth="1"/>
    <col min="8961" max="8961" width="20.85546875" style="30" customWidth="1"/>
    <col min="8962" max="8962" width="22" style="30" bestFit="1" customWidth="1"/>
    <col min="8963" max="8963" width="16.7109375" style="30" customWidth="1"/>
    <col min="8964" max="9214" width="11.42578125" style="30"/>
    <col min="9215" max="9215" width="86.5703125" style="30" bestFit="1" customWidth="1"/>
    <col min="9216" max="9216" width="30.42578125" style="30" customWidth="1"/>
    <col min="9217" max="9217" width="20.85546875" style="30" customWidth="1"/>
    <col min="9218" max="9218" width="22" style="30" bestFit="1" customWidth="1"/>
    <col min="9219" max="9219" width="16.7109375" style="30" customWidth="1"/>
    <col min="9220" max="9470" width="11.42578125" style="30"/>
    <col min="9471" max="9471" width="86.5703125" style="30" bestFit="1" customWidth="1"/>
    <col min="9472" max="9472" width="30.42578125" style="30" customWidth="1"/>
    <col min="9473" max="9473" width="20.85546875" style="30" customWidth="1"/>
    <col min="9474" max="9474" width="22" style="30" bestFit="1" customWidth="1"/>
    <col min="9475" max="9475" width="16.7109375" style="30" customWidth="1"/>
    <col min="9476" max="9726" width="11.42578125" style="30"/>
    <col min="9727" max="9727" width="86.5703125" style="30" bestFit="1" customWidth="1"/>
    <col min="9728" max="9728" width="30.42578125" style="30" customWidth="1"/>
    <col min="9729" max="9729" width="20.85546875" style="30" customWidth="1"/>
    <col min="9730" max="9730" width="22" style="30" bestFit="1" customWidth="1"/>
    <col min="9731" max="9731" width="16.7109375" style="30" customWidth="1"/>
    <col min="9732" max="9982" width="11.42578125" style="30"/>
    <col min="9983" max="9983" width="86.5703125" style="30" bestFit="1" customWidth="1"/>
    <col min="9984" max="9984" width="30.42578125" style="30" customWidth="1"/>
    <col min="9985" max="9985" width="20.85546875" style="30" customWidth="1"/>
    <col min="9986" max="9986" width="22" style="30" bestFit="1" customWidth="1"/>
    <col min="9987" max="9987" width="16.7109375" style="30" customWidth="1"/>
    <col min="9988" max="10238" width="11.42578125" style="30"/>
    <col min="10239" max="10239" width="86.5703125" style="30" bestFit="1" customWidth="1"/>
    <col min="10240" max="10240" width="30.42578125" style="30" customWidth="1"/>
    <col min="10241" max="10241" width="20.85546875" style="30" customWidth="1"/>
    <col min="10242" max="10242" width="22" style="30" bestFit="1" customWidth="1"/>
    <col min="10243" max="10243" width="16.7109375" style="30" customWidth="1"/>
    <col min="10244" max="10494" width="11.42578125" style="30"/>
    <col min="10495" max="10495" width="86.5703125" style="30" bestFit="1" customWidth="1"/>
    <col min="10496" max="10496" width="30.42578125" style="30" customWidth="1"/>
    <col min="10497" max="10497" width="20.85546875" style="30" customWidth="1"/>
    <col min="10498" max="10498" width="22" style="30" bestFit="1" customWidth="1"/>
    <col min="10499" max="10499" width="16.7109375" style="30" customWidth="1"/>
    <col min="10500" max="10750" width="11.42578125" style="30"/>
    <col min="10751" max="10751" width="86.5703125" style="30" bestFit="1" customWidth="1"/>
    <col min="10752" max="10752" width="30.42578125" style="30" customWidth="1"/>
    <col min="10753" max="10753" width="20.85546875" style="30" customWidth="1"/>
    <col min="10754" max="10754" width="22" style="30" bestFit="1" customWidth="1"/>
    <col min="10755" max="10755" width="16.7109375" style="30" customWidth="1"/>
    <col min="10756" max="11006" width="11.42578125" style="30"/>
    <col min="11007" max="11007" width="86.5703125" style="30" bestFit="1" customWidth="1"/>
    <col min="11008" max="11008" width="30.42578125" style="30" customWidth="1"/>
    <col min="11009" max="11009" width="20.85546875" style="30" customWidth="1"/>
    <col min="11010" max="11010" width="22" style="30" bestFit="1" customWidth="1"/>
    <col min="11011" max="11011" width="16.7109375" style="30" customWidth="1"/>
    <col min="11012" max="11262" width="11.42578125" style="30"/>
    <col min="11263" max="11263" width="86.5703125" style="30" bestFit="1" customWidth="1"/>
    <col min="11264" max="11264" width="30.42578125" style="30" customWidth="1"/>
    <col min="11265" max="11265" width="20.85546875" style="30" customWidth="1"/>
    <col min="11266" max="11266" width="22" style="30" bestFit="1" customWidth="1"/>
    <col min="11267" max="11267" width="16.7109375" style="30" customWidth="1"/>
    <col min="11268" max="11518" width="11.42578125" style="30"/>
    <col min="11519" max="11519" width="86.5703125" style="30" bestFit="1" customWidth="1"/>
    <col min="11520" max="11520" width="30.42578125" style="30" customWidth="1"/>
    <col min="11521" max="11521" width="20.85546875" style="30" customWidth="1"/>
    <col min="11522" max="11522" width="22" style="30" bestFit="1" customWidth="1"/>
    <col min="11523" max="11523" width="16.7109375" style="30" customWidth="1"/>
    <col min="11524" max="11774" width="11.42578125" style="30"/>
    <col min="11775" max="11775" width="86.5703125" style="30" bestFit="1" customWidth="1"/>
    <col min="11776" max="11776" width="30.42578125" style="30" customWidth="1"/>
    <col min="11777" max="11777" width="20.85546875" style="30" customWidth="1"/>
    <col min="11778" max="11778" width="22" style="30" bestFit="1" customWidth="1"/>
    <col min="11779" max="11779" width="16.7109375" style="30" customWidth="1"/>
    <col min="11780" max="12030" width="11.42578125" style="30"/>
    <col min="12031" max="12031" width="86.5703125" style="30" bestFit="1" customWidth="1"/>
    <col min="12032" max="12032" width="30.42578125" style="30" customWidth="1"/>
    <col min="12033" max="12033" width="20.85546875" style="30" customWidth="1"/>
    <col min="12034" max="12034" width="22" style="30" bestFit="1" customWidth="1"/>
    <col min="12035" max="12035" width="16.7109375" style="30" customWidth="1"/>
    <col min="12036" max="12286" width="11.42578125" style="30"/>
    <col min="12287" max="12287" width="86.5703125" style="30" bestFit="1" customWidth="1"/>
    <col min="12288" max="12288" width="30.42578125" style="30" customWidth="1"/>
    <col min="12289" max="12289" width="20.85546875" style="30" customWidth="1"/>
    <col min="12290" max="12290" width="22" style="30" bestFit="1" customWidth="1"/>
    <col min="12291" max="12291" width="16.7109375" style="30" customWidth="1"/>
    <col min="12292" max="12542" width="11.42578125" style="30"/>
    <col min="12543" max="12543" width="86.5703125" style="30" bestFit="1" customWidth="1"/>
    <col min="12544" max="12544" width="30.42578125" style="30" customWidth="1"/>
    <col min="12545" max="12545" width="20.85546875" style="30" customWidth="1"/>
    <col min="12546" max="12546" width="22" style="30" bestFit="1" customWidth="1"/>
    <col min="12547" max="12547" width="16.7109375" style="30" customWidth="1"/>
    <col min="12548" max="12798" width="11.42578125" style="30"/>
    <col min="12799" max="12799" width="86.5703125" style="30" bestFit="1" customWidth="1"/>
    <col min="12800" max="12800" width="30.42578125" style="30" customWidth="1"/>
    <col min="12801" max="12801" width="20.85546875" style="30" customWidth="1"/>
    <col min="12802" max="12802" width="22" style="30" bestFit="1" customWidth="1"/>
    <col min="12803" max="12803" width="16.7109375" style="30" customWidth="1"/>
    <col min="12804" max="13054" width="11.42578125" style="30"/>
    <col min="13055" max="13055" width="86.5703125" style="30" bestFit="1" customWidth="1"/>
    <col min="13056" max="13056" width="30.42578125" style="30" customWidth="1"/>
    <col min="13057" max="13057" width="20.85546875" style="30" customWidth="1"/>
    <col min="13058" max="13058" width="22" style="30" bestFit="1" customWidth="1"/>
    <col min="13059" max="13059" width="16.7109375" style="30" customWidth="1"/>
    <col min="13060" max="13310" width="11.42578125" style="30"/>
    <col min="13311" max="13311" width="86.5703125" style="30" bestFit="1" customWidth="1"/>
    <col min="13312" max="13312" width="30.42578125" style="30" customWidth="1"/>
    <col min="13313" max="13313" width="20.85546875" style="30" customWidth="1"/>
    <col min="13314" max="13314" width="22" style="30" bestFit="1" customWidth="1"/>
    <col min="13315" max="13315" width="16.7109375" style="30" customWidth="1"/>
    <col min="13316" max="13566" width="11.42578125" style="30"/>
    <col min="13567" max="13567" width="86.5703125" style="30" bestFit="1" customWidth="1"/>
    <col min="13568" max="13568" width="30.42578125" style="30" customWidth="1"/>
    <col min="13569" max="13569" width="20.85546875" style="30" customWidth="1"/>
    <col min="13570" max="13570" width="22" style="30" bestFit="1" customWidth="1"/>
    <col min="13571" max="13571" width="16.7109375" style="30" customWidth="1"/>
    <col min="13572" max="13822" width="11.42578125" style="30"/>
    <col min="13823" max="13823" width="86.5703125" style="30" bestFit="1" customWidth="1"/>
    <col min="13824" max="13824" width="30.42578125" style="30" customWidth="1"/>
    <col min="13825" max="13825" width="20.85546875" style="30" customWidth="1"/>
    <col min="13826" max="13826" width="22" style="30" bestFit="1" customWidth="1"/>
    <col min="13827" max="13827" width="16.7109375" style="30" customWidth="1"/>
    <col min="13828" max="14078" width="11.42578125" style="30"/>
    <col min="14079" max="14079" width="86.5703125" style="30" bestFit="1" customWidth="1"/>
    <col min="14080" max="14080" width="30.42578125" style="30" customWidth="1"/>
    <col min="14081" max="14081" width="20.85546875" style="30" customWidth="1"/>
    <col min="14082" max="14082" width="22" style="30" bestFit="1" customWidth="1"/>
    <col min="14083" max="14083" width="16.7109375" style="30" customWidth="1"/>
    <col min="14084" max="14334" width="11.42578125" style="30"/>
    <col min="14335" max="14335" width="86.5703125" style="30" bestFit="1" customWidth="1"/>
    <col min="14336" max="14336" width="30.42578125" style="30" customWidth="1"/>
    <col min="14337" max="14337" width="20.85546875" style="30" customWidth="1"/>
    <col min="14338" max="14338" width="22" style="30" bestFit="1" customWidth="1"/>
    <col min="14339" max="14339" width="16.7109375" style="30" customWidth="1"/>
    <col min="14340" max="14590" width="11.42578125" style="30"/>
    <col min="14591" max="14591" width="86.5703125" style="30" bestFit="1" customWidth="1"/>
    <col min="14592" max="14592" width="30.42578125" style="30" customWidth="1"/>
    <col min="14593" max="14593" width="20.85546875" style="30" customWidth="1"/>
    <col min="14594" max="14594" width="22" style="30" bestFit="1" customWidth="1"/>
    <col min="14595" max="14595" width="16.7109375" style="30" customWidth="1"/>
    <col min="14596" max="14846" width="11.42578125" style="30"/>
    <col min="14847" max="14847" width="86.5703125" style="30" bestFit="1" customWidth="1"/>
    <col min="14848" max="14848" width="30.42578125" style="30" customWidth="1"/>
    <col min="14849" max="14849" width="20.85546875" style="30" customWidth="1"/>
    <col min="14850" max="14850" width="22" style="30" bestFit="1" customWidth="1"/>
    <col min="14851" max="14851" width="16.7109375" style="30" customWidth="1"/>
    <col min="14852" max="15102" width="11.42578125" style="30"/>
    <col min="15103" max="15103" width="86.5703125" style="30" bestFit="1" customWidth="1"/>
    <col min="15104" max="15104" width="30.42578125" style="30" customWidth="1"/>
    <col min="15105" max="15105" width="20.85546875" style="30" customWidth="1"/>
    <col min="15106" max="15106" width="22" style="30" bestFit="1" customWidth="1"/>
    <col min="15107" max="15107" width="16.7109375" style="30" customWidth="1"/>
    <col min="15108" max="15358" width="11.42578125" style="30"/>
    <col min="15359" max="15359" width="86.5703125" style="30" bestFit="1" customWidth="1"/>
    <col min="15360" max="15360" width="30.42578125" style="30" customWidth="1"/>
    <col min="15361" max="15361" width="20.85546875" style="30" customWidth="1"/>
    <col min="15362" max="15362" width="22" style="30" bestFit="1" customWidth="1"/>
    <col min="15363" max="15363" width="16.7109375" style="30" customWidth="1"/>
    <col min="15364" max="15614" width="11.42578125" style="30"/>
    <col min="15615" max="15615" width="86.5703125" style="30" bestFit="1" customWidth="1"/>
    <col min="15616" max="15616" width="30.42578125" style="30" customWidth="1"/>
    <col min="15617" max="15617" width="20.85546875" style="30" customWidth="1"/>
    <col min="15618" max="15618" width="22" style="30" bestFit="1" customWidth="1"/>
    <col min="15619" max="15619" width="16.7109375" style="30" customWidth="1"/>
    <col min="15620" max="15870" width="11.42578125" style="30"/>
    <col min="15871" max="15871" width="86.5703125" style="30" bestFit="1" customWidth="1"/>
    <col min="15872" max="15872" width="30.42578125" style="30" customWidth="1"/>
    <col min="15873" max="15873" width="20.85546875" style="30" customWidth="1"/>
    <col min="15874" max="15874" width="22" style="30" bestFit="1" customWidth="1"/>
    <col min="15875" max="15875" width="16.7109375" style="30" customWidth="1"/>
    <col min="15876" max="16126" width="11.42578125" style="30"/>
    <col min="16127" max="16127" width="86.5703125" style="30" bestFit="1" customWidth="1"/>
    <col min="16128" max="16128" width="30.42578125" style="30" customWidth="1"/>
    <col min="16129" max="16129" width="20.85546875" style="30" customWidth="1"/>
    <col min="16130" max="16130" width="22" style="30" bestFit="1" customWidth="1"/>
    <col min="16131" max="16131" width="16.7109375" style="30" customWidth="1"/>
    <col min="16132" max="16384" width="11.42578125" style="30"/>
  </cols>
  <sheetData>
    <row r="1" spans="1:7" ht="21" thickBot="1" x14ac:dyDescent="0.35">
      <c r="A1" s="28" t="s">
        <v>39</v>
      </c>
      <c r="B1" s="29" t="s">
        <v>40</v>
      </c>
    </row>
    <row r="2" spans="1:7" ht="21" thickBot="1" x14ac:dyDescent="0.35">
      <c r="A2" s="31" t="s">
        <v>41</v>
      </c>
      <c r="B2" s="32" t="s">
        <v>42</v>
      </c>
      <c r="C2" s="33"/>
      <c r="D2" s="34"/>
    </row>
    <row r="3" spans="1:7" x14ac:dyDescent="0.3">
      <c r="A3" s="35" t="s">
        <v>26</v>
      </c>
      <c r="B3" s="36">
        <f>2492+169+169+169+455+168+169+455+169-5+169+169+455+455</f>
        <v>5658</v>
      </c>
      <c r="C3" s="36"/>
      <c r="D3" s="37"/>
      <c r="E3" s="38"/>
      <c r="F3" s="38"/>
      <c r="G3" s="38"/>
    </row>
    <row r="4" spans="1:7" x14ac:dyDescent="0.3">
      <c r="A4" s="35" t="s">
        <v>43</v>
      </c>
      <c r="B4" s="36">
        <f>-455-455</f>
        <v>-910</v>
      </c>
      <c r="C4" s="36"/>
      <c r="D4" s="37"/>
      <c r="E4" s="38"/>
      <c r="F4" s="38"/>
      <c r="G4" s="38"/>
    </row>
    <row r="5" spans="1:7" x14ac:dyDescent="0.3">
      <c r="A5" s="35" t="s">
        <v>44</v>
      </c>
      <c r="B5" s="36">
        <v>140</v>
      </c>
      <c r="C5" s="36"/>
      <c r="D5" s="38"/>
      <c r="E5" s="38"/>
      <c r="F5" s="38"/>
      <c r="G5" s="38"/>
    </row>
    <row r="6" spans="1:7" x14ac:dyDescent="0.3">
      <c r="A6" s="35" t="s">
        <v>45</v>
      </c>
      <c r="B6" s="36">
        <v>198</v>
      </c>
      <c r="C6" s="36"/>
      <c r="D6" s="38"/>
      <c r="E6" s="38"/>
      <c r="F6" s="38"/>
      <c r="G6" s="38"/>
    </row>
    <row r="7" spans="1:7" x14ac:dyDescent="0.3">
      <c r="A7" s="35" t="s">
        <v>46</v>
      </c>
      <c r="B7" s="36">
        <v>370</v>
      </c>
      <c r="C7" s="36"/>
      <c r="D7" s="38"/>
      <c r="E7" s="38"/>
      <c r="F7" s="38"/>
      <c r="G7" s="38"/>
    </row>
    <row r="8" spans="1:7" x14ac:dyDescent="0.3">
      <c r="A8" s="35" t="s">
        <v>47</v>
      </c>
      <c r="B8" s="36">
        <v>704</v>
      </c>
      <c r="C8" s="36"/>
      <c r="D8" s="37"/>
      <c r="E8" s="38"/>
      <c r="F8" s="38"/>
      <c r="G8" s="38"/>
    </row>
    <row r="9" spans="1:7" x14ac:dyDescent="0.3">
      <c r="A9" s="35" t="s">
        <v>48</v>
      </c>
      <c r="B9" s="36">
        <f>435+435+435</f>
        <v>1305</v>
      </c>
      <c r="C9" s="36"/>
      <c r="D9" s="37"/>
      <c r="E9" s="38"/>
      <c r="F9" s="38"/>
      <c r="G9" s="38"/>
    </row>
    <row r="10" spans="1:7" x14ac:dyDescent="0.3">
      <c r="A10" s="35" t="s">
        <v>49</v>
      </c>
      <c r="B10" s="36">
        <f>220+210-8+204+192</f>
        <v>818</v>
      </c>
      <c r="C10" s="36"/>
      <c r="D10" s="37"/>
      <c r="E10" s="38"/>
      <c r="F10" s="38"/>
      <c r="G10" s="38"/>
    </row>
    <row r="11" spans="1:7" x14ac:dyDescent="0.3">
      <c r="A11" s="35" t="s">
        <v>50</v>
      </c>
      <c r="B11" s="36">
        <v>54</v>
      </c>
      <c r="C11" s="36"/>
      <c r="D11" s="38"/>
      <c r="E11" s="38"/>
      <c r="F11" s="38"/>
      <c r="G11" s="38"/>
    </row>
    <row r="12" spans="1:7" x14ac:dyDescent="0.3">
      <c r="A12" s="35" t="s">
        <v>51</v>
      </c>
      <c r="B12" s="36">
        <v>169</v>
      </c>
      <c r="C12" s="36"/>
      <c r="D12" s="38"/>
      <c r="E12" s="38"/>
      <c r="F12" s="38"/>
      <c r="G12" s="38"/>
    </row>
    <row r="13" spans="1:7" x14ac:dyDescent="0.3">
      <c r="A13" s="35" t="s">
        <v>52</v>
      </c>
      <c r="B13" s="36">
        <f>655+58+493+731+468+783+395</f>
        <v>3583</v>
      </c>
      <c r="C13" s="36"/>
      <c r="D13" s="38"/>
      <c r="E13" s="38"/>
      <c r="F13" s="38"/>
      <c r="G13" s="38"/>
    </row>
    <row r="14" spans="1:7" x14ac:dyDescent="0.3">
      <c r="A14" s="35" t="s">
        <v>53</v>
      </c>
      <c r="B14" s="36">
        <v>332</v>
      </c>
      <c r="C14" s="36"/>
      <c r="D14" s="38"/>
      <c r="E14" s="38"/>
      <c r="F14" s="38"/>
      <c r="G14" s="38"/>
    </row>
    <row r="15" spans="1:7" ht="21" thickBot="1" x14ac:dyDescent="0.35">
      <c r="A15" s="35" t="s">
        <v>54</v>
      </c>
      <c r="B15" s="36">
        <v>35</v>
      </c>
      <c r="C15" s="36"/>
      <c r="D15" s="38"/>
      <c r="E15" s="38"/>
      <c r="F15" s="38"/>
      <c r="G15" s="38"/>
    </row>
    <row r="16" spans="1:7" ht="21" thickBot="1" x14ac:dyDescent="0.35">
      <c r="A16" s="35" t="s">
        <v>55</v>
      </c>
      <c r="B16" s="36">
        <v>110</v>
      </c>
      <c r="C16" s="39">
        <f>SUM(B3:B16)</f>
        <v>12566</v>
      </c>
      <c r="D16" s="38"/>
      <c r="E16" s="38"/>
      <c r="F16" s="38"/>
      <c r="G16" s="38"/>
    </row>
    <row r="17" spans="1:7" ht="21" thickBot="1" x14ac:dyDescent="0.35">
      <c r="A17" s="31" t="s">
        <v>56</v>
      </c>
      <c r="B17" s="36"/>
      <c r="C17" s="36"/>
      <c r="D17" s="38"/>
      <c r="E17" s="38"/>
      <c r="F17" s="38"/>
      <c r="G17" s="38"/>
    </row>
    <row r="18" spans="1:7" x14ac:dyDescent="0.3">
      <c r="A18" s="40" t="s">
        <v>57</v>
      </c>
      <c r="B18" s="36">
        <f>16+45+13+40</f>
        <v>114</v>
      </c>
      <c r="C18" s="36"/>
      <c r="D18" s="38"/>
      <c r="E18" s="38"/>
      <c r="F18" s="38"/>
      <c r="G18" s="38"/>
    </row>
    <row r="19" spans="1:7" x14ac:dyDescent="0.3">
      <c r="A19" s="35" t="s">
        <v>58</v>
      </c>
      <c r="B19" s="36">
        <f>3.95+3.95+3.95+12.1+30+12.1+3.95+3.95+3.95+3.95+3.95+3.95+7.9+15.95+7.9+30+0.6+30+1.2+30</f>
        <v>213.3</v>
      </c>
      <c r="C19" s="38"/>
      <c r="D19" s="38"/>
      <c r="E19" s="38"/>
      <c r="F19" s="38"/>
      <c r="G19" s="38"/>
    </row>
    <row r="20" spans="1:7" x14ac:dyDescent="0.3">
      <c r="A20" s="35" t="s">
        <v>59</v>
      </c>
      <c r="B20" s="36">
        <f>149.89+39.99</f>
        <v>189.88</v>
      </c>
      <c r="C20" s="38"/>
      <c r="D20" s="38"/>
      <c r="E20" s="38"/>
      <c r="F20" s="38"/>
      <c r="G20" s="38"/>
    </row>
    <row r="21" spans="1:7" x14ac:dyDescent="0.3">
      <c r="A21" s="35" t="s">
        <v>60</v>
      </c>
      <c r="B21" s="36">
        <f>236.97+252.28+115.67+15.32+22.2+70+78.34+73.26+71.92</f>
        <v>935.96</v>
      </c>
      <c r="C21" s="38"/>
      <c r="D21" s="38"/>
      <c r="E21" s="38"/>
      <c r="F21" s="38"/>
      <c r="G21" s="38"/>
    </row>
    <row r="22" spans="1:7" x14ac:dyDescent="0.3">
      <c r="A22" s="35" t="s">
        <v>61</v>
      </c>
      <c r="B22" s="36">
        <f>367+222.1</f>
        <v>589.1</v>
      </c>
      <c r="C22" s="38"/>
      <c r="D22" s="38"/>
      <c r="E22" s="38"/>
      <c r="F22" s="38"/>
      <c r="G22" s="38"/>
    </row>
    <row r="23" spans="1:7" x14ac:dyDescent="0.3">
      <c r="A23" s="35" t="s">
        <v>62</v>
      </c>
      <c r="B23" s="38">
        <f>280.39+329.28+186.39+192.36+190.75+160.69+229.93</f>
        <v>1569.7900000000002</v>
      </c>
      <c r="C23" s="38"/>
      <c r="D23" s="38"/>
      <c r="E23" s="38"/>
      <c r="F23" s="38"/>
      <c r="G23" s="38"/>
    </row>
    <row r="24" spans="1:7" x14ac:dyDescent="0.3">
      <c r="A24" s="35" t="s">
        <v>63</v>
      </c>
      <c r="B24" s="38">
        <v>88.72</v>
      </c>
      <c r="C24" s="38"/>
      <c r="D24" s="38"/>
      <c r="E24" s="38"/>
      <c r="F24" s="38"/>
      <c r="G24" s="38"/>
    </row>
    <row r="25" spans="1:7" ht="21" thickBot="1" x14ac:dyDescent="0.35">
      <c r="A25" s="38" t="s">
        <v>64</v>
      </c>
      <c r="B25" s="36">
        <f>342+67.4</f>
        <v>409.4</v>
      </c>
      <c r="C25" s="38"/>
      <c r="D25" s="38"/>
      <c r="E25" s="38"/>
      <c r="F25" s="38"/>
      <c r="G25" s="38"/>
    </row>
    <row r="26" spans="1:7" ht="21" thickBot="1" x14ac:dyDescent="0.35">
      <c r="A26" s="38" t="s">
        <v>65</v>
      </c>
      <c r="B26" s="36">
        <f>155.3+6.95+8.5+21+8.75+4.25+12+8.45+21.4</f>
        <v>246.6</v>
      </c>
      <c r="C26" s="39">
        <f>SUM(B18:B26)</f>
        <v>4356.7500000000009</v>
      </c>
      <c r="D26" s="38"/>
      <c r="E26" s="38"/>
      <c r="F26" s="38"/>
      <c r="G26" s="38"/>
    </row>
    <row r="27" spans="1:7" ht="21" thickBot="1" x14ac:dyDescent="0.35">
      <c r="A27" s="31" t="s">
        <v>66</v>
      </c>
      <c r="B27" s="36"/>
      <c r="C27" s="38"/>
      <c r="D27" s="38"/>
      <c r="E27" s="38"/>
      <c r="F27" s="38"/>
      <c r="G27" s="38"/>
    </row>
    <row r="28" spans="1:7" x14ac:dyDescent="0.3">
      <c r="A28" s="35" t="s">
        <v>67</v>
      </c>
      <c r="B28" s="36">
        <f>45.8+15.05+97.5+120-55+101.38+130+130-130+130+230+208+10.95+50.35+74.6+12.95+83.6</f>
        <v>1255.1799999999998</v>
      </c>
      <c r="C28" s="38"/>
      <c r="D28" s="38"/>
      <c r="E28" s="38"/>
      <c r="F28" s="38"/>
      <c r="G28" s="38"/>
    </row>
    <row r="29" spans="1:7" x14ac:dyDescent="0.3">
      <c r="A29" s="35" t="s">
        <v>68</v>
      </c>
      <c r="B29" s="36">
        <f>3200+960</f>
        <v>4160</v>
      </c>
      <c r="C29" s="38"/>
      <c r="D29" s="38"/>
      <c r="E29" s="38"/>
      <c r="F29" s="38"/>
      <c r="G29" s="38"/>
    </row>
    <row r="30" spans="1:7" x14ac:dyDescent="0.3">
      <c r="A30" s="35" t="s">
        <v>69</v>
      </c>
      <c r="B30" s="36">
        <f>690.8+340+340+50+340+340+15.02+9.9+607.3+340-52.2+340+440</f>
        <v>3800.8200000000006</v>
      </c>
      <c r="C30" s="38"/>
      <c r="D30" s="41"/>
      <c r="E30" s="38"/>
      <c r="F30" s="38"/>
      <c r="G30" s="38"/>
    </row>
    <row r="31" spans="1:7" x14ac:dyDescent="0.3">
      <c r="A31" s="35" t="s">
        <v>70</v>
      </c>
      <c r="B31" s="36">
        <v>20</v>
      </c>
      <c r="C31" s="38"/>
      <c r="D31" s="38"/>
      <c r="E31" s="38"/>
      <c r="F31" s="38"/>
      <c r="G31" s="38"/>
    </row>
    <row r="32" spans="1:7" x14ac:dyDescent="0.3">
      <c r="A32" s="35" t="s">
        <v>71</v>
      </c>
      <c r="B32" s="36">
        <f>50+50</f>
        <v>100</v>
      </c>
      <c r="C32" s="38"/>
      <c r="D32" s="38"/>
      <c r="E32" s="38"/>
      <c r="F32" s="38"/>
      <c r="G32" s="38"/>
    </row>
    <row r="33" spans="1:7" x14ac:dyDescent="0.3">
      <c r="A33" s="35" t="s">
        <v>72</v>
      </c>
      <c r="B33" s="38">
        <f>64+64+64+363.09+64+8.67+18.13+18.43+20+20+20+20+20+20+20</f>
        <v>804.31999999999982</v>
      </c>
      <c r="C33" s="38"/>
      <c r="D33" s="38"/>
      <c r="E33" s="38"/>
      <c r="F33" s="38"/>
      <c r="G33" s="38"/>
    </row>
    <row r="34" spans="1:7" x14ac:dyDescent="0.3">
      <c r="A34" s="35" t="s">
        <v>73</v>
      </c>
      <c r="B34" s="36">
        <f>725.81+251.19-50.24-50.24+495</f>
        <v>1371.52</v>
      </c>
      <c r="C34" s="38"/>
      <c r="D34" s="38"/>
      <c r="E34" s="38"/>
      <c r="F34" s="38"/>
      <c r="G34" s="38"/>
    </row>
    <row r="35" spans="1:7" x14ac:dyDescent="0.3">
      <c r="A35" s="35" t="s">
        <v>74</v>
      </c>
      <c r="B35" s="36">
        <f>-495-251.19+50.24+50.24</f>
        <v>-645.71</v>
      </c>
      <c r="C35" s="38"/>
      <c r="D35" s="38"/>
      <c r="E35" s="38"/>
      <c r="F35" s="38"/>
      <c r="G35" s="38"/>
    </row>
    <row r="36" spans="1:7" x14ac:dyDescent="0.3">
      <c r="A36" s="35" t="s">
        <v>75</v>
      </c>
      <c r="B36" s="36">
        <v>59.85</v>
      </c>
      <c r="C36" s="38"/>
      <c r="D36" s="38"/>
      <c r="E36" s="38"/>
      <c r="F36" s="38"/>
      <c r="G36" s="38"/>
    </row>
    <row r="37" spans="1:7" x14ac:dyDescent="0.3">
      <c r="A37" s="35" t="s">
        <v>94</v>
      </c>
      <c r="B37" s="38">
        <f>151.02+120.3+189.15+2866.67+23.65+330</f>
        <v>3680.7900000000004</v>
      </c>
      <c r="C37" s="36"/>
      <c r="D37" s="38"/>
      <c r="E37" s="38"/>
      <c r="F37" s="38"/>
      <c r="G37" s="38"/>
    </row>
    <row r="38" spans="1:7" x14ac:dyDescent="0.3">
      <c r="A38" s="35" t="s">
        <v>76</v>
      </c>
      <c r="B38" s="38">
        <v>237.16</v>
      </c>
      <c r="C38" s="36"/>
      <c r="D38" s="38"/>
      <c r="E38" s="38"/>
      <c r="F38" s="38"/>
      <c r="G38" s="38"/>
    </row>
    <row r="39" spans="1:7" x14ac:dyDescent="0.3">
      <c r="A39" s="35" t="s">
        <v>77</v>
      </c>
      <c r="B39" s="38">
        <v>115</v>
      </c>
      <c r="C39" s="36"/>
      <c r="D39" s="38"/>
      <c r="E39" s="38"/>
      <c r="F39" s="38"/>
      <c r="G39" s="38"/>
    </row>
    <row r="40" spans="1:7" ht="21" thickBot="1" x14ac:dyDescent="0.35">
      <c r="A40" s="35" t="s">
        <v>78</v>
      </c>
      <c r="B40" s="38">
        <v>0</v>
      </c>
      <c r="C40" s="36"/>
      <c r="D40" s="38"/>
      <c r="E40" s="38"/>
      <c r="F40" s="38"/>
      <c r="G40" s="38"/>
    </row>
    <row r="41" spans="1:7" ht="21" thickBot="1" x14ac:dyDescent="0.35">
      <c r="A41" s="35"/>
      <c r="B41" s="36"/>
      <c r="C41" s="39">
        <f>SUM(B28:B41)</f>
        <v>14958.930000000002</v>
      </c>
      <c r="D41" s="38"/>
      <c r="E41" s="38"/>
      <c r="F41" s="38"/>
      <c r="G41" s="38"/>
    </row>
    <row r="42" spans="1:7" ht="21" thickBot="1" x14ac:dyDescent="0.35">
      <c r="A42" s="31" t="s">
        <v>79</v>
      </c>
      <c r="B42" s="36"/>
      <c r="C42" s="36"/>
      <c r="D42" s="38"/>
      <c r="E42" s="38"/>
      <c r="F42" s="38"/>
      <c r="G42" s="38"/>
    </row>
    <row r="43" spans="1:7" x14ac:dyDescent="0.3">
      <c r="A43" s="42" t="s">
        <v>80</v>
      </c>
      <c r="B43" s="36">
        <f>9.95+25.5+99+54+54+5.61+11.51+511.2+1800-100</f>
        <v>2470.77</v>
      </c>
      <c r="C43" s="36"/>
      <c r="D43" s="38"/>
      <c r="E43" s="38"/>
      <c r="F43" s="38"/>
      <c r="G43" s="38"/>
    </row>
    <row r="44" spans="1:7" x14ac:dyDescent="0.3">
      <c r="A44" s="42" t="s">
        <v>81</v>
      </c>
      <c r="B44" s="36"/>
      <c r="C44" s="36"/>
      <c r="D44" s="38"/>
      <c r="E44" s="38"/>
      <c r="F44" s="38"/>
      <c r="G44" s="38"/>
    </row>
    <row r="45" spans="1:7" x14ac:dyDescent="0.3">
      <c r="A45" s="42" t="s">
        <v>82</v>
      </c>
      <c r="B45" s="36"/>
      <c r="C45" s="36"/>
      <c r="D45" s="38"/>
      <c r="E45" s="38"/>
      <c r="F45" s="38"/>
      <c r="G45" s="38"/>
    </row>
    <row r="46" spans="1:7" ht="21" thickBot="1" x14ac:dyDescent="0.35">
      <c r="A46" s="42"/>
      <c r="B46" s="36"/>
      <c r="C46" s="38"/>
      <c r="D46" s="38"/>
      <c r="E46" s="38"/>
      <c r="F46" s="38"/>
      <c r="G46" s="38"/>
    </row>
    <row r="47" spans="1:7" ht="21" thickBot="1" x14ac:dyDescent="0.35">
      <c r="A47" s="31" t="s">
        <v>83</v>
      </c>
      <c r="B47" s="36"/>
      <c r="C47" s="39">
        <f>SUM(B43:B46)</f>
        <v>2470.77</v>
      </c>
      <c r="D47" s="38"/>
      <c r="E47" s="38"/>
      <c r="F47" s="38"/>
      <c r="G47" s="38"/>
    </row>
    <row r="48" spans="1:7" x14ac:dyDescent="0.3">
      <c r="A48" s="35" t="s">
        <v>84</v>
      </c>
      <c r="B48" s="36">
        <f>68.96+35.19+13.3+34.39+72.16</f>
        <v>223.99999999999997</v>
      </c>
      <c r="C48" s="36"/>
      <c r="D48" s="38"/>
      <c r="E48" s="38"/>
      <c r="F48" s="38"/>
      <c r="G48" s="38"/>
    </row>
    <row r="49" spans="1:7" x14ac:dyDescent="0.3">
      <c r="A49" s="35" t="s">
        <v>85</v>
      </c>
      <c r="B49" s="36">
        <v>183.65</v>
      </c>
      <c r="C49" s="36"/>
      <c r="D49" s="38"/>
      <c r="E49" s="38"/>
      <c r="F49" s="38"/>
      <c r="G49" s="38"/>
    </row>
    <row r="50" spans="1:7" x14ac:dyDescent="0.3">
      <c r="A50" s="35" t="s">
        <v>86</v>
      </c>
      <c r="B50" s="36">
        <v>70</v>
      </c>
      <c r="C50" s="38"/>
      <c r="D50" s="38"/>
      <c r="E50" s="38"/>
      <c r="F50" s="38"/>
      <c r="G50" s="38"/>
    </row>
    <row r="51" spans="1:7" ht="21" thickBot="1" x14ac:dyDescent="0.35">
      <c r="A51" s="35"/>
      <c r="B51" s="36"/>
      <c r="C51" s="36"/>
      <c r="D51" s="38"/>
      <c r="E51" s="38"/>
      <c r="F51" s="38"/>
      <c r="G51" s="38"/>
    </row>
    <row r="52" spans="1:7" ht="21" thickBot="1" x14ac:dyDescent="0.35">
      <c r="A52" s="43"/>
      <c r="B52" s="44"/>
      <c r="C52" s="39">
        <f>SUM(B48:B51)</f>
        <v>477.65</v>
      </c>
      <c r="D52" s="38"/>
      <c r="E52" s="38"/>
      <c r="F52" s="38"/>
      <c r="G52" s="38"/>
    </row>
    <row r="53" spans="1:7" ht="21" thickBot="1" x14ac:dyDescent="0.35">
      <c r="A53" s="38"/>
      <c r="B53" s="45" t="s">
        <v>87</v>
      </c>
      <c r="C53" s="45" t="s">
        <v>88</v>
      </c>
      <c r="D53" s="46">
        <f>SUM(C16:C52)</f>
        <v>34830.1</v>
      </c>
      <c r="E53" s="38"/>
      <c r="F53" s="38"/>
      <c r="G53" s="38"/>
    </row>
    <row r="54" spans="1:7" ht="21" thickBot="1" x14ac:dyDescent="0.35">
      <c r="A54" s="47"/>
      <c r="B54" s="38"/>
      <c r="C54" s="31" t="s">
        <v>89</v>
      </c>
      <c r="D54" s="29">
        <f>[1]INGRESOS!C36</f>
        <v>49508.08</v>
      </c>
      <c r="E54" s="35"/>
      <c r="F54" s="38"/>
      <c r="G54" s="38"/>
    </row>
    <row r="55" spans="1:7" ht="21" thickBot="1" x14ac:dyDescent="0.35">
      <c r="A55" s="48"/>
      <c r="B55" s="38"/>
      <c r="C55" s="38"/>
      <c r="D55" s="49">
        <f>SUM(D54-D53)</f>
        <v>14677.980000000003</v>
      </c>
      <c r="E55" s="38"/>
      <c r="F55" s="38"/>
      <c r="G55" s="38"/>
    </row>
    <row r="56" spans="1:7" ht="21" thickBot="1" x14ac:dyDescent="0.35">
      <c r="A56" s="50" t="s">
        <v>90</v>
      </c>
      <c r="B56" s="38"/>
      <c r="C56" s="38"/>
      <c r="D56" s="51"/>
      <c r="E56" s="38"/>
      <c r="F56" s="38"/>
      <c r="G56" s="38"/>
    </row>
    <row r="57" spans="1:7" x14ac:dyDescent="0.3">
      <c r="A57" s="35" t="s">
        <v>91</v>
      </c>
      <c r="B57" s="52">
        <v>0</v>
      </c>
      <c r="C57" s="38"/>
      <c r="D57" s="38"/>
      <c r="E57" s="38"/>
      <c r="F57" s="38"/>
      <c r="G57" s="38"/>
    </row>
    <row r="58" spans="1:7" x14ac:dyDescent="0.3">
      <c r="A58" s="35" t="s">
        <v>92</v>
      </c>
      <c r="B58" s="52">
        <v>0</v>
      </c>
      <c r="C58" s="38"/>
      <c r="D58" s="38"/>
      <c r="E58" s="38"/>
      <c r="F58" s="38"/>
      <c r="G58" s="38"/>
    </row>
    <row r="59" spans="1:7" ht="21" thickBot="1" x14ac:dyDescent="0.35">
      <c r="A59" s="35" t="s">
        <v>11</v>
      </c>
      <c r="B59" s="52">
        <f>SUM(D55)</f>
        <v>14677.980000000003</v>
      </c>
      <c r="C59" s="38"/>
      <c r="D59" s="38"/>
      <c r="E59" s="38"/>
      <c r="F59" s="38"/>
      <c r="G59" s="38"/>
    </row>
    <row r="60" spans="1:7" ht="21" thickBot="1" x14ac:dyDescent="0.35">
      <c r="A60" s="38"/>
      <c r="B60" s="49">
        <f>SUM(B57:B59)</f>
        <v>14677.980000000003</v>
      </c>
      <c r="C60" s="38"/>
      <c r="D60" s="53"/>
      <c r="E60" s="38"/>
      <c r="F60" s="38"/>
      <c r="G60" s="38"/>
    </row>
    <row r="61" spans="1:7" ht="21" thickBot="1" x14ac:dyDescent="0.35">
      <c r="A61" s="50" t="s">
        <v>93</v>
      </c>
      <c r="B61" s="38"/>
      <c r="C61" s="54" t="s">
        <v>38</v>
      </c>
      <c r="D61" s="53"/>
      <c r="E61" s="38"/>
      <c r="F61" s="38"/>
      <c r="G61" s="38"/>
    </row>
    <row r="62" spans="1:7" x14ac:dyDescent="0.3">
      <c r="A62" s="38"/>
      <c r="B62" s="38"/>
      <c r="C62" s="38"/>
      <c r="D62" s="38"/>
      <c r="E62" s="38"/>
      <c r="F62" s="38"/>
      <c r="G62" s="38"/>
    </row>
    <row r="63" spans="1:7" x14ac:dyDescent="0.3">
      <c r="A63" s="38"/>
      <c r="B63" s="38"/>
      <c r="C63" s="38"/>
      <c r="D63" s="38"/>
      <c r="E63" s="38"/>
      <c r="F63" s="38"/>
      <c r="G63" s="38"/>
    </row>
  </sheetData>
  <sheetProtection algorithmName="SHA-512" hashValue="VxM3SKdbkVZJOXwAJ11kTv9L9Rc04fIqHKgm+5whq/TKsGAk1jckwkgZRTUoWn+y/vHuo2T0K+8qQnma8Jfzuw==" saltValue="9voJVhvD54djGxZjzN+op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C8BE9-4930-4C4D-B549-B70183F664C0}">
  <dimension ref="A1:H50"/>
  <sheetViews>
    <sheetView topLeftCell="A20" workbookViewId="0">
      <selection activeCell="C28" sqref="C28"/>
    </sheetView>
  </sheetViews>
  <sheetFormatPr baseColWidth="10" defaultRowHeight="12.75" x14ac:dyDescent="0.2"/>
  <cols>
    <col min="1" max="1" width="85.5703125" style="57" bestFit="1" customWidth="1"/>
    <col min="2" max="2" width="25.5703125" style="57" bestFit="1" customWidth="1"/>
    <col min="3" max="3" width="14.140625" style="57" customWidth="1"/>
    <col min="4" max="4" width="13.28515625" style="57" bestFit="1" customWidth="1"/>
    <col min="5" max="5" width="7.7109375" style="57" customWidth="1"/>
    <col min="6" max="6" width="7" style="57" customWidth="1"/>
    <col min="7" max="7" width="18.28515625" style="57" bestFit="1" customWidth="1"/>
    <col min="8" max="255" width="11.42578125" style="57"/>
    <col min="256" max="256" width="59.42578125" style="57" bestFit="1" customWidth="1"/>
    <col min="257" max="257" width="36" style="57" bestFit="1" customWidth="1"/>
    <col min="258" max="258" width="24.140625" style="57" bestFit="1" customWidth="1"/>
    <col min="259" max="259" width="18.85546875" style="57" bestFit="1" customWidth="1"/>
    <col min="260" max="260" width="14.7109375" style="57" bestFit="1" customWidth="1"/>
    <col min="261" max="511" width="11.42578125" style="57"/>
    <col min="512" max="512" width="59.42578125" style="57" bestFit="1" customWidth="1"/>
    <col min="513" max="513" width="36" style="57" bestFit="1" customWidth="1"/>
    <col min="514" max="514" width="24.140625" style="57" bestFit="1" customWidth="1"/>
    <col min="515" max="515" width="18.85546875" style="57" bestFit="1" customWidth="1"/>
    <col min="516" max="516" width="14.7109375" style="57" bestFit="1" customWidth="1"/>
    <col min="517" max="767" width="11.42578125" style="57"/>
    <col min="768" max="768" width="59.42578125" style="57" bestFit="1" customWidth="1"/>
    <col min="769" max="769" width="36" style="57" bestFit="1" customWidth="1"/>
    <col min="770" max="770" width="24.140625" style="57" bestFit="1" customWidth="1"/>
    <col min="771" max="771" width="18.85546875" style="57" bestFit="1" customWidth="1"/>
    <col min="772" max="772" width="14.7109375" style="57" bestFit="1" customWidth="1"/>
    <col min="773" max="1023" width="11.42578125" style="57"/>
    <col min="1024" max="1024" width="59.42578125" style="57" bestFit="1" customWidth="1"/>
    <col min="1025" max="1025" width="36" style="57" bestFit="1" customWidth="1"/>
    <col min="1026" max="1026" width="24.140625" style="57" bestFit="1" customWidth="1"/>
    <col min="1027" max="1027" width="18.85546875" style="57" bestFit="1" customWidth="1"/>
    <col min="1028" max="1028" width="14.7109375" style="57" bestFit="1" customWidth="1"/>
    <col min="1029" max="1279" width="11.42578125" style="57"/>
    <col min="1280" max="1280" width="59.42578125" style="57" bestFit="1" customWidth="1"/>
    <col min="1281" max="1281" width="36" style="57" bestFit="1" customWidth="1"/>
    <col min="1282" max="1282" width="24.140625" style="57" bestFit="1" customWidth="1"/>
    <col min="1283" max="1283" width="18.85546875" style="57" bestFit="1" customWidth="1"/>
    <col min="1284" max="1284" width="14.7109375" style="57" bestFit="1" customWidth="1"/>
    <col min="1285" max="1535" width="11.42578125" style="57"/>
    <col min="1536" max="1536" width="59.42578125" style="57" bestFit="1" customWidth="1"/>
    <col min="1537" max="1537" width="36" style="57" bestFit="1" customWidth="1"/>
    <col min="1538" max="1538" width="24.140625" style="57" bestFit="1" customWidth="1"/>
    <col min="1539" max="1539" width="18.85546875" style="57" bestFit="1" customWidth="1"/>
    <col min="1540" max="1540" width="14.7109375" style="57" bestFit="1" customWidth="1"/>
    <col min="1541" max="1791" width="11.42578125" style="57"/>
    <col min="1792" max="1792" width="59.42578125" style="57" bestFit="1" customWidth="1"/>
    <col min="1793" max="1793" width="36" style="57" bestFit="1" customWidth="1"/>
    <col min="1794" max="1794" width="24.140625" style="57" bestFit="1" customWidth="1"/>
    <col min="1795" max="1795" width="18.85546875" style="57" bestFit="1" customWidth="1"/>
    <col min="1796" max="1796" width="14.7109375" style="57" bestFit="1" customWidth="1"/>
    <col min="1797" max="2047" width="11.42578125" style="57"/>
    <col min="2048" max="2048" width="59.42578125" style="57" bestFit="1" customWidth="1"/>
    <col min="2049" max="2049" width="36" style="57" bestFit="1" customWidth="1"/>
    <col min="2050" max="2050" width="24.140625" style="57" bestFit="1" customWidth="1"/>
    <col min="2051" max="2051" width="18.85546875" style="57" bestFit="1" customWidth="1"/>
    <col min="2052" max="2052" width="14.7109375" style="57" bestFit="1" customWidth="1"/>
    <col min="2053" max="2303" width="11.42578125" style="57"/>
    <col min="2304" max="2304" width="59.42578125" style="57" bestFit="1" customWidth="1"/>
    <col min="2305" max="2305" width="36" style="57" bestFit="1" customWidth="1"/>
    <col min="2306" max="2306" width="24.140625" style="57" bestFit="1" customWidth="1"/>
    <col min="2307" max="2307" width="18.85546875" style="57" bestFit="1" customWidth="1"/>
    <col min="2308" max="2308" width="14.7109375" style="57" bestFit="1" customWidth="1"/>
    <col min="2309" max="2559" width="11.42578125" style="57"/>
    <col min="2560" max="2560" width="59.42578125" style="57" bestFit="1" customWidth="1"/>
    <col min="2561" max="2561" width="36" style="57" bestFit="1" customWidth="1"/>
    <col min="2562" max="2562" width="24.140625" style="57" bestFit="1" customWidth="1"/>
    <col min="2563" max="2563" width="18.85546875" style="57" bestFit="1" customWidth="1"/>
    <col min="2564" max="2564" width="14.7109375" style="57" bestFit="1" customWidth="1"/>
    <col min="2565" max="2815" width="11.42578125" style="57"/>
    <col min="2816" max="2816" width="59.42578125" style="57" bestFit="1" customWidth="1"/>
    <col min="2817" max="2817" width="36" style="57" bestFit="1" customWidth="1"/>
    <col min="2818" max="2818" width="24.140625" style="57" bestFit="1" customWidth="1"/>
    <col min="2819" max="2819" width="18.85546875" style="57" bestFit="1" customWidth="1"/>
    <col min="2820" max="2820" width="14.7109375" style="57" bestFit="1" customWidth="1"/>
    <col min="2821" max="3071" width="11.42578125" style="57"/>
    <col min="3072" max="3072" width="59.42578125" style="57" bestFit="1" customWidth="1"/>
    <col min="3073" max="3073" width="36" style="57" bestFit="1" customWidth="1"/>
    <col min="3074" max="3074" width="24.140625" style="57" bestFit="1" customWidth="1"/>
    <col min="3075" max="3075" width="18.85546875" style="57" bestFit="1" customWidth="1"/>
    <col min="3076" max="3076" width="14.7109375" style="57" bestFit="1" customWidth="1"/>
    <col min="3077" max="3327" width="11.42578125" style="57"/>
    <col min="3328" max="3328" width="59.42578125" style="57" bestFit="1" customWidth="1"/>
    <col min="3329" max="3329" width="36" style="57" bestFit="1" customWidth="1"/>
    <col min="3330" max="3330" width="24.140625" style="57" bestFit="1" customWidth="1"/>
    <col min="3331" max="3331" width="18.85546875" style="57" bestFit="1" customWidth="1"/>
    <col min="3332" max="3332" width="14.7109375" style="57" bestFit="1" customWidth="1"/>
    <col min="3333" max="3583" width="11.42578125" style="57"/>
    <col min="3584" max="3584" width="59.42578125" style="57" bestFit="1" customWidth="1"/>
    <col min="3585" max="3585" width="36" style="57" bestFit="1" customWidth="1"/>
    <col min="3586" max="3586" width="24.140625" style="57" bestFit="1" customWidth="1"/>
    <col min="3587" max="3587" width="18.85546875" style="57" bestFit="1" customWidth="1"/>
    <col min="3588" max="3588" width="14.7109375" style="57" bestFit="1" customWidth="1"/>
    <col min="3589" max="3839" width="11.42578125" style="57"/>
    <col min="3840" max="3840" width="59.42578125" style="57" bestFit="1" customWidth="1"/>
    <col min="3841" max="3841" width="36" style="57" bestFit="1" customWidth="1"/>
    <col min="3842" max="3842" width="24.140625" style="57" bestFit="1" customWidth="1"/>
    <col min="3843" max="3843" width="18.85546875" style="57" bestFit="1" customWidth="1"/>
    <col min="3844" max="3844" width="14.7109375" style="57" bestFit="1" customWidth="1"/>
    <col min="3845" max="4095" width="11.42578125" style="57"/>
    <col min="4096" max="4096" width="59.42578125" style="57" bestFit="1" customWidth="1"/>
    <col min="4097" max="4097" width="36" style="57" bestFit="1" customWidth="1"/>
    <col min="4098" max="4098" width="24.140625" style="57" bestFit="1" customWidth="1"/>
    <col min="4099" max="4099" width="18.85546875" style="57" bestFit="1" customWidth="1"/>
    <col min="4100" max="4100" width="14.7109375" style="57" bestFit="1" customWidth="1"/>
    <col min="4101" max="4351" width="11.42578125" style="57"/>
    <col min="4352" max="4352" width="59.42578125" style="57" bestFit="1" customWidth="1"/>
    <col min="4353" max="4353" width="36" style="57" bestFit="1" customWidth="1"/>
    <col min="4354" max="4354" width="24.140625" style="57" bestFit="1" customWidth="1"/>
    <col min="4355" max="4355" width="18.85546875" style="57" bestFit="1" customWidth="1"/>
    <col min="4356" max="4356" width="14.7109375" style="57" bestFit="1" customWidth="1"/>
    <col min="4357" max="4607" width="11.42578125" style="57"/>
    <col min="4608" max="4608" width="59.42578125" style="57" bestFit="1" customWidth="1"/>
    <col min="4609" max="4609" width="36" style="57" bestFit="1" customWidth="1"/>
    <col min="4610" max="4610" width="24.140625" style="57" bestFit="1" customWidth="1"/>
    <col min="4611" max="4611" width="18.85546875" style="57" bestFit="1" customWidth="1"/>
    <col min="4612" max="4612" width="14.7109375" style="57" bestFit="1" customWidth="1"/>
    <col min="4613" max="4863" width="11.42578125" style="57"/>
    <col min="4864" max="4864" width="59.42578125" style="57" bestFit="1" customWidth="1"/>
    <col min="4865" max="4865" width="36" style="57" bestFit="1" customWidth="1"/>
    <col min="4866" max="4866" width="24.140625" style="57" bestFit="1" customWidth="1"/>
    <col min="4867" max="4867" width="18.85546875" style="57" bestFit="1" customWidth="1"/>
    <col min="4868" max="4868" width="14.7109375" style="57" bestFit="1" customWidth="1"/>
    <col min="4869" max="5119" width="11.42578125" style="57"/>
    <col min="5120" max="5120" width="59.42578125" style="57" bestFit="1" customWidth="1"/>
    <col min="5121" max="5121" width="36" style="57" bestFit="1" customWidth="1"/>
    <col min="5122" max="5122" width="24.140625" style="57" bestFit="1" customWidth="1"/>
    <col min="5123" max="5123" width="18.85546875" style="57" bestFit="1" customWidth="1"/>
    <col min="5124" max="5124" width="14.7109375" style="57" bestFit="1" customWidth="1"/>
    <col min="5125" max="5375" width="11.42578125" style="57"/>
    <col min="5376" max="5376" width="59.42578125" style="57" bestFit="1" customWidth="1"/>
    <col min="5377" max="5377" width="36" style="57" bestFit="1" customWidth="1"/>
    <col min="5378" max="5378" width="24.140625" style="57" bestFit="1" customWidth="1"/>
    <col min="5379" max="5379" width="18.85546875" style="57" bestFit="1" customWidth="1"/>
    <col min="5380" max="5380" width="14.7109375" style="57" bestFit="1" customWidth="1"/>
    <col min="5381" max="5631" width="11.42578125" style="57"/>
    <col min="5632" max="5632" width="59.42578125" style="57" bestFit="1" customWidth="1"/>
    <col min="5633" max="5633" width="36" style="57" bestFit="1" customWidth="1"/>
    <col min="5634" max="5634" width="24.140625" style="57" bestFit="1" customWidth="1"/>
    <col min="5635" max="5635" width="18.85546875" style="57" bestFit="1" customWidth="1"/>
    <col min="5636" max="5636" width="14.7109375" style="57" bestFit="1" customWidth="1"/>
    <col min="5637" max="5887" width="11.42578125" style="57"/>
    <col min="5888" max="5888" width="59.42578125" style="57" bestFit="1" customWidth="1"/>
    <col min="5889" max="5889" width="36" style="57" bestFit="1" customWidth="1"/>
    <col min="5890" max="5890" width="24.140625" style="57" bestFit="1" customWidth="1"/>
    <col min="5891" max="5891" width="18.85546875" style="57" bestFit="1" customWidth="1"/>
    <col min="5892" max="5892" width="14.7109375" style="57" bestFit="1" customWidth="1"/>
    <col min="5893" max="6143" width="11.42578125" style="57"/>
    <col min="6144" max="6144" width="59.42578125" style="57" bestFit="1" customWidth="1"/>
    <col min="6145" max="6145" width="36" style="57" bestFit="1" customWidth="1"/>
    <col min="6146" max="6146" width="24.140625" style="57" bestFit="1" customWidth="1"/>
    <col min="6147" max="6147" width="18.85546875" style="57" bestFit="1" customWidth="1"/>
    <col min="6148" max="6148" width="14.7109375" style="57" bestFit="1" customWidth="1"/>
    <col min="6149" max="6399" width="11.42578125" style="57"/>
    <col min="6400" max="6400" width="59.42578125" style="57" bestFit="1" customWidth="1"/>
    <col min="6401" max="6401" width="36" style="57" bestFit="1" customWidth="1"/>
    <col min="6402" max="6402" width="24.140625" style="57" bestFit="1" customWidth="1"/>
    <col min="6403" max="6403" width="18.85546875" style="57" bestFit="1" customWidth="1"/>
    <col min="6404" max="6404" width="14.7109375" style="57" bestFit="1" customWidth="1"/>
    <col min="6405" max="6655" width="11.42578125" style="57"/>
    <col min="6656" max="6656" width="59.42578125" style="57" bestFit="1" customWidth="1"/>
    <col min="6657" max="6657" width="36" style="57" bestFit="1" customWidth="1"/>
    <col min="6658" max="6658" width="24.140625" style="57" bestFit="1" customWidth="1"/>
    <col min="6659" max="6659" width="18.85546875" style="57" bestFit="1" customWidth="1"/>
    <col min="6660" max="6660" width="14.7109375" style="57" bestFit="1" customWidth="1"/>
    <col min="6661" max="6911" width="11.42578125" style="57"/>
    <col min="6912" max="6912" width="59.42578125" style="57" bestFit="1" customWidth="1"/>
    <col min="6913" max="6913" width="36" style="57" bestFit="1" customWidth="1"/>
    <col min="6914" max="6914" width="24.140625" style="57" bestFit="1" customWidth="1"/>
    <col min="6915" max="6915" width="18.85546875" style="57" bestFit="1" customWidth="1"/>
    <col min="6916" max="6916" width="14.7109375" style="57" bestFit="1" customWidth="1"/>
    <col min="6917" max="7167" width="11.42578125" style="57"/>
    <col min="7168" max="7168" width="59.42578125" style="57" bestFit="1" customWidth="1"/>
    <col min="7169" max="7169" width="36" style="57" bestFit="1" customWidth="1"/>
    <col min="7170" max="7170" width="24.140625" style="57" bestFit="1" customWidth="1"/>
    <col min="7171" max="7171" width="18.85546875" style="57" bestFit="1" customWidth="1"/>
    <col min="7172" max="7172" width="14.7109375" style="57" bestFit="1" customWidth="1"/>
    <col min="7173" max="7423" width="11.42578125" style="57"/>
    <col min="7424" max="7424" width="59.42578125" style="57" bestFit="1" customWidth="1"/>
    <col min="7425" max="7425" width="36" style="57" bestFit="1" customWidth="1"/>
    <col min="7426" max="7426" width="24.140625" style="57" bestFit="1" customWidth="1"/>
    <col min="7427" max="7427" width="18.85546875" style="57" bestFit="1" customWidth="1"/>
    <col min="7428" max="7428" width="14.7109375" style="57" bestFit="1" customWidth="1"/>
    <col min="7429" max="7679" width="11.42578125" style="57"/>
    <col min="7680" max="7680" width="59.42578125" style="57" bestFit="1" customWidth="1"/>
    <col min="7681" max="7681" width="36" style="57" bestFit="1" customWidth="1"/>
    <col min="7682" max="7682" width="24.140625" style="57" bestFit="1" customWidth="1"/>
    <col min="7683" max="7683" width="18.85546875" style="57" bestFit="1" customWidth="1"/>
    <col min="7684" max="7684" width="14.7109375" style="57" bestFit="1" customWidth="1"/>
    <col min="7685" max="7935" width="11.42578125" style="57"/>
    <col min="7936" max="7936" width="59.42578125" style="57" bestFit="1" customWidth="1"/>
    <col min="7937" max="7937" width="36" style="57" bestFit="1" customWidth="1"/>
    <col min="7938" max="7938" width="24.140625" style="57" bestFit="1" customWidth="1"/>
    <col min="7939" max="7939" width="18.85546875" style="57" bestFit="1" customWidth="1"/>
    <col min="7940" max="7940" width="14.7109375" style="57" bestFit="1" customWidth="1"/>
    <col min="7941" max="8191" width="11.42578125" style="57"/>
    <col min="8192" max="8192" width="59.42578125" style="57" bestFit="1" customWidth="1"/>
    <col min="8193" max="8193" width="36" style="57" bestFit="1" customWidth="1"/>
    <col min="8194" max="8194" width="24.140625" style="57" bestFit="1" customWidth="1"/>
    <col min="8195" max="8195" width="18.85546875" style="57" bestFit="1" customWidth="1"/>
    <col min="8196" max="8196" width="14.7109375" style="57" bestFit="1" customWidth="1"/>
    <col min="8197" max="8447" width="11.42578125" style="57"/>
    <col min="8448" max="8448" width="59.42578125" style="57" bestFit="1" customWidth="1"/>
    <col min="8449" max="8449" width="36" style="57" bestFit="1" customWidth="1"/>
    <col min="8450" max="8450" width="24.140625" style="57" bestFit="1" customWidth="1"/>
    <col min="8451" max="8451" width="18.85546875" style="57" bestFit="1" customWidth="1"/>
    <col min="8452" max="8452" width="14.7109375" style="57" bestFit="1" customWidth="1"/>
    <col min="8453" max="8703" width="11.42578125" style="57"/>
    <col min="8704" max="8704" width="59.42578125" style="57" bestFit="1" customWidth="1"/>
    <col min="8705" max="8705" width="36" style="57" bestFit="1" customWidth="1"/>
    <col min="8706" max="8706" width="24.140625" style="57" bestFit="1" customWidth="1"/>
    <col min="8707" max="8707" width="18.85546875" style="57" bestFit="1" customWidth="1"/>
    <col min="8708" max="8708" width="14.7109375" style="57" bestFit="1" customWidth="1"/>
    <col min="8709" max="8959" width="11.42578125" style="57"/>
    <col min="8960" max="8960" width="59.42578125" style="57" bestFit="1" customWidth="1"/>
    <col min="8961" max="8961" width="36" style="57" bestFit="1" customWidth="1"/>
    <col min="8962" max="8962" width="24.140625" style="57" bestFit="1" customWidth="1"/>
    <col min="8963" max="8963" width="18.85546875" style="57" bestFit="1" customWidth="1"/>
    <col min="8964" max="8964" width="14.7109375" style="57" bestFit="1" customWidth="1"/>
    <col min="8965" max="9215" width="11.42578125" style="57"/>
    <col min="9216" max="9216" width="59.42578125" style="57" bestFit="1" customWidth="1"/>
    <col min="9217" max="9217" width="36" style="57" bestFit="1" customWidth="1"/>
    <col min="9218" max="9218" width="24.140625" style="57" bestFit="1" customWidth="1"/>
    <col min="9219" max="9219" width="18.85546875" style="57" bestFit="1" customWidth="1"/>
    <col min="9220" max="9220" width="14.7109375" style="57" bestFit="1" customWidth="1"/>
    <col min="9221" max="9471" width="11.42578125" style="57"/>
    <col min="9472" max="9472" width="59.42578125" style="57" bestFit="1" customWidth="1"/>
    <col min="9473" max="9473" width="36" style="57" bestFit="1" customWidth="1"/>
    <col min="9474" max="9474" width="24.140625" style="57" bestFit="1" customWidth="1"/>
    <col min="9475" max="9475" width="18.85546875" style="57" bestFit="1" customWidth="1"/>
    <col min="9476" max="9476" width="14.7109375" style="57" bestFit="1" customWidth="1"/>
    <col min="9477" max="9727" width="11.42578125" style="57"/>
    <col min="9728" max="9728" width="59.42578125" style="57" bestFit="1" customWidth="1"/>
    <col min="9729" max="9729" width="36" style="57" bestFit="1" customWidth="1"/>
    <col min="9730" max="9730" width="24.140625" style="57" bestFit="1" customWidth="1"/>
    <col min="9731" max="9731" width="18.85546875" style="57" bestFit="1" customWidth="1"/>
    <col min="9732" max="9732" width="14.7109375" style="57" bestFit="1" customWidth="1"/>
    <col min="9733" max="9983" width="11.42578125" style="57"/>
    <col min="9984" max="9984" width="59.42578125" style="57" bestFit="1" customWidth="1"/>
    <col min="9985" max="9985" width="36" style="57" bestFit="1" customWidth="1"/>
    <col min="9986" max="9986" width="24.140625" style="57" bestFit="1" customWidth="1"/>
    <col min="9987" max="9987" width="18.85546875" style="57" bestFit="1" customWidth="1"/>
    <col min="9988" max="9988" width="14.7109375" style="57" bestFit="1" customWidth="1"/>
    <col min="9989" max="10239" width="11.42578125" style="57"/>
    <col min="10240" max="10240" width="59.42578125" style="57" bestFit="1" customWidth="1"/>
    <col min="10241" max="10241" width="36" style="57" bestFit="1" customWidth="1"/>
    <col min="10242" max="10242" width="24.140625" style="57" bestFit="1" customWidth="1"/>
    <col min="10243" max="10243" width="18.85546875" style="57" bestFit="1" customWidth="1"/>
    <col min="10244" max="10244" width="14.7109375" style="57" bestFit="1" customWidth="1"/>
    <col min="10245" max="10495" width="11.42578125" style="57"/>
    <col min="10496" max="10496" width="59.42578125" style="57" bestFit="1" customWidth="1"/>
    <col min="10497" max="10497" width="36" style="57" bestFit="1" customWidth="1"/>
    <col min="10498" max="10498" width="24.140625" style="57" bestFit="1" customWidth="1"/>
    <col min="10499" max="10499" width="18.85546875" style="57" bestFit="1" customWidth="1"/>
    <col min="10500" max="10500" width="14.7109375" style="57" bestFit="1" customWidth="1"/>
    <col min="10501" max="10751" width="11.42578125" style="57"/>
    <col min="10752" max="10752" width="59.42578125" style="57" bestFit="1" customWidth="1"/>
    <col min="10753" max="10753" width="36" style="57" bestFit="1" customWidth="1"/>
    <col min="10754" max="10754" width="24.140625" style="57" bestFit="1" customWidth="1"/>
    <col min="10755" max="10755" width="18.85546875" style="57" bestFit="1" customWidth="1"/>
    <col min="10756" max="10756" width="14.7109375" style="57" bestFit="1" customWidth="1"/>
    <col min="10757" max="11007" width="11.42578125" style="57"/>
    <col min="11008" max="11008" width="59.42578125" style="57" bestFit="1" customWidth="1"/>
    <col min="11009" max="11009" width="36" style="57" bestFit="1" customWidth="1"/>
    <col min="11010" max="11010" width="24.140625" style="57" bestFit="1" customWidth="1"/>
    <col min="11011" max="11011" width="18.85546875" style="57" bestFit="1" customWidth="1"/>
    <col min="11012" max="11012" width="14.7109375" style="57" bestFit="1" customWidth="1"/>
    <col min="11013" max="11263" width="11.42578125" style="57"/>
    <col min="11264" max="11264" width="59.42578125" style="57" bestFit="1" customWidth="1"/>
    <col min="11265" max="11265" width="36" style="57" bestFit="1" customWidth="1"/>
    <col min="11266" max="11266" width="24.140625" style="57" bestFit="1" customWidth="1"/>
    <col min="11267" max="11267" width="18.85546875" style="57" bestFit="1" customWidth="1"/>
    <col min="11268" max="11268" width="14.7109375" style="57" bestFit="1" customWidth="1"/>
    <col min="11269" max="11519" width="11.42578125" style="57"/>
    <col min="11520" max="11520" width="59.42578125" style="57" bestFit="1" customWidth="1"/>
    <col min="11521" max="11521" width="36" style="57" bestFit="1" customWidth="1"/>
    <col min="11522" max="11522" width="24.140625" style="57" bestFit="1" customWidth="1"/>
    <col min="11523" max="11523" width="18.85546875" style="57" bestFit="1" customWidth="1"/>
    <col min="11524" max="11524" width="14.7109375" style="57" bestFit="1" customWidth="1"/>
    <col min="11525" max="11775" width="11.42578125" style="57"/>
    <col min="11776" max="11776" width="59.42578125" style="57" bestFit="1" customWidth="1"/>
    <col min="11777" max="11777" width="36" style="57" bestFit="1" customWidth="1"/>
    <col min="11778" max="11778" width="24.140625" style="57" bestFit="1" customWidth="1"/>
    <col min="11779" max="11779" width="18.85546875" style="57" bestFit="1" customWidth="1"/>
    <col min="11780" max="11780" width="14.7109375" style="57" bestFit="1" customWidth="1"/>
    <col min="11781" max="12031" width="11.42578125" style="57"/>
    <col min="12032" max="12032" width="59.42578125" style="57" bestFit="1" customWidth="1"/>
    <col min="12033" max="12033" width="36" style="57" bestFit="1" customWidth="1"/>
    <col min="12034" max="12034" width="24.140625" style="57" bestFit="1" customWidth="1"/>
    <col min="12035" max="12035" width="18.85546875" style="57" bestFit="1" customWidth="1"/>
    <col min="12036" max="12036" width="14.7109375" style="57" bestFit="1" customWidth="1"/>
    <col min="12037" max="12287" width="11.42578125" style="57"/>
    <col min="12288" max="12288" width="59.42578125" style="57" bestFit="1" customWidth="1"/>
    <col min="12289" max="12289" width="36" style="57" bestFit="1" customWidth="1"/>
    <col min="12290" max="12290" width="24.140625" style="57" bestFit="1" customWidth="1"/>
    <col min="12291" max="12291" width="18.85546875" style="57" bestFit="1" customWidth="1"/>
    <col min="12292" max="12292" width="14.7109375" style="57" bestFit="1" customWidth="1"/>
    <col min="12293" max="12543" width="11.42578125" style="57"/>
    <col min="12544" max="12544" width="59.42578125" style="57" bestFit="1" customWidth="1"/>
    <col min="12545" max="12545" width="36" style="57" bestFit="1" customWidth="1"/>
    <col min="12546" max="12546" width="24.140625" style="57" bestFit="1" customWidth="1"/>
    <col min="12547" max="12547" width="18.85546875" style="57" bestFit="1" customWidth="1"/>
    <col min="12548" max="12548" width="14.7109375" style="57" bestFit="1" customWidth="1"/>
    <col min="12549" max="12799" width="11.42578125" style="57"/>
    <col min="12800" max="12800" width="59.42578125" style="57" bestFit="1" customWidth="1"/>
    <col min="12801" max="12801" width="36" style="57" bestFit="1" customWidth="1"/>
    <col min="12802" max="12802" width="24.140625" style="57" bestFit="1" customWidth="1"/>
    <col min="12803" max="12803" width="18.85546875" style="57" bestFit="1" customWidth="1"/>
    <col min="12804" max="12804" width="14.7109375" style="57" bestFit="1" customWidth="1"/>
    <col min="12805" max="13055" width="11.42578125" style="57"/>
    <col min="13056" max="13056" width="59.42578125" style="57" bestFit="1" customWidth="1"/>
    <col min="13057" max="13057" width="36" style="57" bestFit="1" customWidth="1"/>
    <col min="13058" max="13058" width="24.140625" style="57" bestFit="1" customWidth="1"/>
    <col min="13059" max="13059" width="18.85546875" style="57" bestFit="1" customWidth="1"/>
    <col min="13060" max="13060" width="14.7109375" style="57" bestFit="1" customWidth="1"/>
    <col min="13061" max="13311" width="11.42578125" style="57"/>
    <col min="13312" max="13312" width="59.42578125" style="57" bestFit="1" customWidth="1"/>
    <col min="13313" max="13313" width="36" style="57" bestFit="1" customWidth="1"/>
    <col min="13314" max="13314" width="24.140625" style="57" bestFit="1" customWidth="1"/>
    <col min="13315" max="13315" width="18.85546875" style="57" bestFit="1" customWidth="1"/>
    <col min="13316" max="13316" width="14.7109375" style="57" bestFit="1" customWidth="1"/>
    <col min="13317" max="13567" width="11.42578125" style="57"/>
    <col min="13568" max="13568" width="59.42578125" style="57" bestFit="1" customWidth="1"/>
    <col min="13569" max="13569" width="36" style="57" bestFit="1" customWidth="1"/>
    <col min="13570" max="13570" width="24.140625" style="57" bestFit="1" customWidth="1"/>
    <col min="13571" max="13571" width="18.85546875" style="57" bestFit="1" customWidth="1"/>
    <col min="13572" max="13572" width="14.7109375" style="57" bestFit="1" customWidth="1"/>
    <col min="13573" max="13823" width="11.42578125" style="57"/>
    <col min="13824" max="13824" width="59.42578125" style="57" bestFit="1" customWidth="1"/>
    <col min="13825" max="13825" width="36" style="57" bestFit="1" customWidth="1"/>
    <col min="13826" max="13826" width="24.140625" style="57" bestFit="1" customWidth="1"/>
    <col min="13827" max="13827" width="18.85546875" style="57" bestFit="1" customWidth="1"/>
    <col min="13828" max="13828" width="14.7109375" style="57" bestFit="1" customWidth="1"/>
    <col min="13829" max="14079" width="11.42578125" style="57"/>
    <col min="14080" max="14080" width="59.42578125" style="57" bestFit="1" customWidth="1"/>
    <col min="14081" max="14081" width="36" style="57" bestFit="1" customWidth="1"/>
    <col min="14082" max="14082" width="24.140625" style="57" bestFit="1" customWidth="1"/>
    <col min="14083" max="14083" width="18.85546875" style="57" bestFit="1" customWidth="1"/>
    <col min="14084" max="14084" width="14.7109375" style="57" bestFit="1" customWidth="1"/>
    <col min="14085" max="14335" width="11.42578125" style="57"/>
    <col min="14336" max="14336" width="59.42578125" style="57" bestFit="1" customWidth="1"/>
    <col min="14337" max="14337" width="36" style="57" bestFit="1" customWidth="1"/>
    <col min="14338" max="14338" width="24.140625" style="57" bestFit="1" customWidth="1"/>
    <col min="14339" max="14339" width="18.85546875" style="57" bestFit="1" customWidth="1"/>
    <col min="14340" max="14340" width="14.7109375" style="57" bestFit="1" customWidth="1"/>
    <col min="14341" max="14591" width="11.42578125" style="57"/>
    <col min="14592" max="14592" width="59.42578125" style="57" bestFit="1" customWidth="1"/>
    <col min="14593" max="14593" width="36" style="57" bestFit="1" customWidth="1"/>
    <col min="14594" max="14594" width="24.140625" style="57" bestFit="1" customWidth="1"/>
    <col min="14595" max="14595" width="18.85546875" style="57" bestFit="1" customWidth="1"/>
    <col min="14596" max="14596" width="14.7109375" style="57" bestFit="1" customWidth="1"/>
    <col min="14597" max="14847" width="11.42578125" style="57"/>
    <col min="14848" max="14848" width="59.42578125" style="57" bestFit="1" customWidth="1"/>
    <col min="14849" max="14849" width="36" style="57" bestFit="1" customWidth="1"/>
    <col min="14850" max="14850" width="24.140625" style="57" bestFit="1" customWidth="1"/>
    <col min="14851" max="14851" width="18.85546875" style="57" bestFit="1" customWidth="1"/>
    <col min="14852" max="14852" width="14.7109375" style="57" bestFit="1" customWidth="1"/>
    <col min="14853" max="15103" width="11.42578125" style="57"/>
    <col min="15104" max="15104" width="59.42578125" style="57" bestFit="1" customWidth="1"/>
    <col min="15105" max="15105" width="36" style="57" bestFit="1" customWidth="1"/>
    <col min="15106" max="15106" width="24.140625" style="57" bestFit="1" customWidth="1"/>
    <col min="15107" max="15107" width="18.85546875" style="57" bestFit="1" customWidth="1"/>
    <col min="15108" max="15108" width="14.7109375" style="57" bestFit="1" customWidth="1"/>
    <col min="15109" max="15359" width="11.42578125" style="57"/>
    <col min="15360" max="15360" width="59.42578125" style="57" bestFit="1" customWidth="1"/>
    <col min="15361" max="15361" width="36" style="57" bestFit="1" customWidth="1"/>
    <col min="15362" max="15362" width="24.140625" style="57" bestFit="1" customWidth="1"/>
    <col min="15363" max="15363" width="18.85546875" style="57" bestFit="1" customWidth="1"/>
    <col min="15364" max="15364" width="14.7109375" style="57" bestFit="1" customWidth="1"/>
    <col min="15365" max="15615" width="11.42578125" style="57"/>
    <col min="15616" max="15616" width="59.42578125" style="57" bestFit="1" customWidth="1"/>
    <col min="15617" max="15617" width="36" style="57" bestFit="1" customWidth="1"/>
    <col min="15618" max="15618" width="24.140625" style="57" bestFit="1" customWidth="1"/>
    <col min="15619" max="15619" width="18.85546875" style="57" bestFit="1" customWidth="1"/>
    <col min="15620" max="15620" width="14.7109375" style="57" bestFit="1" customWidth="1"/>
    <col min="15621" max="15871" width="11.42578125" style="57"/>
    <col min="15872" max="15872" width="59.42578125" style="57" bestFit="1" customWidth="1"/>
    <col min="15873" max="15873" width="36" style="57" bestFit="1" customWidth="1"/>
    <col min="15874" max="15874" width="24.140625" style="57" bestFit="1" customWidth="1"/>
    <col min="15875" max="15875" width="18.85546875" style="57" bestFit="1" customWidth="1"/>
    <col min="15876" max="15876" width="14.7109375" style="57" bestFit="1" customWidth="1"/>
    <col min="15877" max="16127" width="11.42578125" style="57"/>
    <col min="16128" max="16128" width="59.42578125" style="57" bestFit="1" customWidth="1"/>
    <col min="16129" max="16129" width="36" style="57" bestFit="1" customWidth="1"/>
    <col min="16130" max="16130" width="24.140625" style="57" bestFit="1" customWidth="1"/>
    <col min="16131" max="16131" width="18.85546875" style="57" bestFit="1" customWidth="1"/>
    <col min="16132" max="16132" width="14.7109375" style="57" bestFit="1" customWidth="1"/>
    <col min="16133" max="16384" width="11.42578125" style="57"/>
  </cols>
  <sheetData>
    <row r="1" spans="1:8" ht="15.75" thickBot="1" x14ac:dyDescent="0.25">
      <c r="A1" s="55" t="s">
        <v>95</v>
      </c>
      <c r="B1" s="39" t="s">
        <v>96</v>
      </c>
      <c r="C1" s="28" t="s">
        <v>97</v>
      </c>
      <c r="D1" s="56" t="s">
        <v>98</v>
      </c>
      <c r="E1" s="57" t="s">
        <v>99</v>
      </c>
      <c r="F1" s="57">
        <v>35</v>
      </c>
    </row>
    <row r="2" spans="1:8" ht="24" thickBot="1" x14ac:dyDescent="0.4">
      <c r="A2" s="31" t="s">
        <v>100</v>
      </c>
      <c r="B2" s="58" t="s">
        <v>40</v>
      </c>
      <c r="C2" s="59">
        <f>SUM(B3)</f>
        <v>14700</v>
      </c>
      <c r="D2" s="36"/>
      <c r="E2" s="60"/>
    </row>
    <row r="3" spans="1:8" ht="16.5" thickBot="1" x14ac:dyDescent="0.3">
      <c r="A3" s="35" t="s">
        <v>101</v>
      </c>
      <c r="B3" s="36">
        <f>+D3*F1</f>
        <v>14700</v>
      </c>
      <c r="C3" s="36"/>
      <c r="D3" s="45">
        <v>420</v>
      </c>
      <c r="E3" s="38"/>
    </row>
    <row r="4" spans="1:8" ht="16.5" thickBot="1" x14ac:dyDescent="0.3">
      <c r="A4" s="31" t="s">
        <v>102</v>
      </c>
      <c r="B4" s="36"/>
      <c r="C4" s="61">
        <f>SUM(B5:B34)</f>
        <v>16568.330000000002</v>
      </c>
      <c r="D4" s="38"/>
      <c r="E4" s="35"/>
      <c r="F4" s="36"/>
    </row>
    <row r="5" spans="1:8" ht="23.25" x14ac:dyDescent="0.35">
      <c r="A5" s="35" t="s">
        <v>103</v>
      </c>
      <c r="B5" s="36">
        <f>900+25</f>
        <v>925</v>
      </c>
      <c r="C5" s="36"/>
      <c r="D5" s="60"/>
      <c r="E5" s="35"/>
      <c r="F5" s="36"/>
    </row>
    <row r="6" spans="1:8" ht="23.25" x14ac:dyDescent="0.35">
      <c r="A6" s="35" t="s">
        <v>104</v>
      </c>
      <c r="B6" s="36">
        <v>540</v>
      </c>
      <c r="C6" s="36"/>
      <c r="D6" s="60"/>
      <c r="E6" s="35"/>
      <c r="F6" s="36"/>
    </row>
    <row r="7" spans="1:8" ht="23.25" x14ac:dyDescent="0.35">
      <c r="A7" s="35" t="s">
        <v>105</v>
      </c>
      <c r="B7" s="36">
        <v>75</v>
      </c>
      <c r="C7" s="36"/>
      <c r="D7" s="60"/>
      <c r="E7" s="35"/>
      <c r="F7" s="36"/>
    </row>
    <row r="8" spans="1:8" ht="23.25" x14ac:dyDescent="0.35">
      <c r="A8" s="35" t="s">
        <v>106</v>
      </c>
      <c r="B8" s="36">
        <f>420+25</f>
        <v>445</v>
      </c>
      <c r="C8" s="36"/>
      <c r="D8" s="60"/>
      <c r="E8" s="35"/>
      <c r="F8" s="36"/>
    </row>
    <row r="9" spans="1:8" ht="23.25" x14ac:dyDescent="0.35">
      <c r="A9" s="35" t="s">
        <v>107</v>
      </c>
      <c r="B9" s="36">
        <f>64+1+45+35+35</f>
        <v>180</v>
      </c>
      <c r="C9" s="36"/>
      <c r="D9" s="60"/>
      <c r="E9" s="35"/>
      <c r="F9" s="36"/>
    </row>
    <row r="10" spans="1:8" ht="23.25" x14ac:dyDescent="0.35">
      <c r="A10" s="35" t="s">
        <v>108</v>
      </c>
      <c r="B10" s="36">
        <f>+D40</f>
        <v>220.64000000000033</v>
      </c>
      <c r="C10" s="36"/>
      <c r="D10" s="60"/>
      <c r="E10" s="35"/>
      <c r="F10" s="36"/>
    </row>
    <row r="11" spans="1:8" ht="23.25" x14ac:dyDescent="0.35">
      <c r="A11" s="35" t="s">
        <v>109</v>
      </c>
      <c r="B11" s="36">
        <f>+D41</f>
        <v>761.38000000000011</v>
      </c>
      <c r="C11" s="36"/>
      <c r="D11" s="60"/>
      <c r="E11" s="35"/>
      <c r="F11" s="36"/>
    </row>
    <row r="12" spans="1:8" ht="23.25" x14ac:dyDescent="0.35">
      <c r="A12" s="35" t="s">
        <v>110</v>
      </c>
      <c r="B12" s="36">
        <f>D42</f>
        <v>481.27000000000044</v>
      </c>
      <c r="C12" s="36"/>
      <c r="D12" s="60"/>
      <c r="E12" s="35"/>
      <c r="F12" s="36"/>
    </row>
    <row r="13" spans="1:8" ht="23.25" x14ac:dyDescent="0.35">
      <c r="A13" s="35" t="s">
        <v>111</v>
      </c>
      <c r="B13" s="36">
        <v>952.16</v>
      </c>
      <c r="C13" s="36"/>
      <c r="D13" s="60"/>
      <c r="E13" s="35"/>
      <c r="F13" s="36"/>
    </row>
    <row r="14" spans="1:8" ht="23.25" x14ac:dyDescent="0.35">
      <c r="A14" s="35" t="s">
        <v>112</v>
      </c>
      <c r="B14" s="36">
        <f>D44</f>
        <v>350.44999999999982</v>
      </c>
      <c r="C14" s="36"/>
      <c r="D14" s="60"/>
      <c r="E14" s="60"/>
      <c r="F14" s="62"/>
      <c r="H14" s="62"/>
    </row>
    <row r="15" spans="1:8" ht="23.25" x14ac:dyDescent="0.35">
      <c r="A15" s="35" t="s">
        <v>113</v>
      </c>
      <c r="B15" s="36">
        <v>-1595.82</v>
      </c>
      <c r="C15" s="36"/>
      <c r="D15" s="60"/>
      <c r="E15" s="60"/>
    </row>
    <row r="16" spans="1:8" ht="23.25" x14ac:dyDescent="0.35">
      <c r="A16" s="35" t="s">
        <v>114</v>
      </c>
      <c r="B16" s="36">
        <v>362.5</v>
      </c>
      <c r="C16" s="36"/>
      <c r="D16" s="60"/>
      <c r="E16" s="60"/>
    </row>
    <row r="17" spans="1:8" ht="23.25" x14ac:dyDescent="0.35">
      <c r="A17" s="35" t="s">
        <v>115</v>
      </c>
      <c r="B17" s="36">
        <v>330</v>
      </c>
      <c r="C17" s="36"/>
      <c r="D17" s="60"/>
      <c r="E17" s="60"/>
    </row>
    <row r="18" spans="1:8" ht="23.25" x14ac:dyDescent="0.35">
      <c r="A18" s="35" t="s">
        <v>116</v>
      </c>
      <c r="B18" s="36">
        <f>1027+3+135+234+18+9+108+3+162+234+27+72+9+189+216+90+18+9+81+63+99+108+18+18+35+9+27+12+14+9+18+9-3+3</f>
        <v>3083</v>
      </c>
      <c r="C18" s="36"/>
      <c r="D18" s="60"/>
      <c r="E18" s="60"/>
    </row>
    <row r="19" spans="1:8" ht="23.25" x14ac:dyDescent="0.35">
      <c r="A19" s="35" t="s">
        <v>117</v>
      </c>
      <c r="B19" s="36">
        <v>350</v>
      </c>
      <c r="C19" s="36"/>
      <c r="D19" s="60"/>
      <c r="E19" s="63"/>
    </row>
    <row r="20" spans="1:8" ht="23.25" x14ac:dyDescent="0.35">
      <c r="A20" s="35" t="s">
        <v>118</v>
      </c>
      <c r="B20" s="36">
        <f>36+72+252+234+270+18+36+36+18+36+18+54+18-18</f>
        <v>1080</v>
      </c>
      <c r="C20" s="36"/>
      <c r="D20" s="60"/>
      <c r="E20" s="63"/>
    </row>
    <row r="21" spans="1:8" ht="23.25" x14ac:dyDescent="0.35">
      <c r="A21" s="35" t="s">
        <v>119</v>
      </c>
      <c r="B21" s="36">
        <f>12+36+96+12+12+12</f>
        <v>180</v>
      </c>
      <c r="C21" s="36"/>
      <c r="D21" s="60"/>
      <c r="E21" s="63"/>
    </row>
    <row r="22" spans="1:8" ht="23.25" x14ac:dyDescent="0.35">
      <c r="A22" s="35" t="s">
        <v>49</v>
      </c>
      <c r="B22" s="36">
        <f>25+5+115+20+10+5+12+10+80+8+45+30+5+15+50+50+5+25+8+5+10+10+10+65+5+25+15</f>
        <v>668</v>
      </c>
      <c r="C22" s="36"/>
      <c r="D22" s="60"/>
      <c r="E22" s="63"/>
      <c r="G22" s="36"/>
    </row>
    <row r="23" spans="1:8" ht="23.25" x14ac:dyDescent="0.35">
      <c r="A23" s="35" t="s">
        <v>120</v>
      </c>
      <c r="B23" s="36">
        <f>161+26+69+75+23+115+23+23+46</f>
        <v>561</v>
      </c>
      <c r="C23" s="36"/>
      <c r="D23" s="60"/>
      <c r="E23" s="63"/>
      <c r="G23" s="36"/>
    </row>
    <row r="24" spans="1:8" ht="23.25" x14ac:dyDescent="0.35">
      <c r="A24" s="35" t="s">
        <v>121</v>
      </c>
      <c r="B24" s="36">
        <f>92+29+23+23+46+23+46+161</f>
        <v>443</v>
      </c>
      <c r="C24" s="36"/>
      <c r="D24" s="60"/>
      <c r="E24" s="63"/>
      <c r="G24" s="36"/>
      <c r="H24" s="36"/>
    </row>
    <row r="25" spans="1:8" ht="23.25" x14ac:dyDescent="0.35">
      <c r="A25" s="35" t="s">
        <v>122</v>
      </c>
      <c r="B25" s="36">
        <f>46+58+46+115+161+23+92+23+23+23+23</f>
        <v>633</v>
      </c>
      <c r="C25" s="36"/>
      <c r="D25" s="60"/>
      <c r="E25" s="63"/>
      <c r="G25" s="36"/>
      <c r="H25" s="36"/>
    </row>
    <row r="26" spans="1:8" ht="23.25" x14ac:dyDescent="0.35">
      <c r="A26" s="35" t="s">
        <v>123</v>
      </c>
      <c r="B26" s="36">
        <f>46+23+46+87+69+75+52+23</f>
        <v>421</v>
      </c>
      <c r="C26" s="36"/>
      <c r="D26" s="60"/>
      <c r="E26" s="63"/>
      <c r="G26" s="36"/>
      <c r="H26" s="36"/>
    </row>
    <row r="27" spans="1:8" ht="23.25" x14ac:dyDescent="0.35">
      <c r="A27" s="35" t="s">
        <v>124</v>
      </c>
      <c r="B27" s="36">
        <f>23+138+29+184+44+58+23+46</f>
        <v>545</v>
      </c>
      <c r="C27" s="36"/>
      <c r="D27" s="60"/>
      <c r="E27" s="63"/>
      <c r="G27" s="36"/>
      <c r="H27" s="36"/>
    </row>
    <row r="28" spans="1:8" ht="23.25" x14ac:dyDescent="0.35">
      <c r="A28" s="35" t="s">
        <v>125</v>
      </c>
      <c r="B28" s="36">
        <f>46+70+23+23+23+23+23+29+46</f>
        <v>306</v>
      </c>
      <c r="C28" s="36"/>
      <c r="D28" s="60"/>
      <c r="E28" s="63"/>
      <c r="G28" s="62"/>
      <c r="H28" s="44"/>
    </row>
    <row r="29" spans="1:8" ht="23.25" x14ac:dyDescent="0.35">
      <c r="A29" s="35" t="s">
        <v>126</v>
      </c>
      <c r="B29" s="36">
        <v>31.75</v>
      </c>
      <c r="C29" s="36"/>
      <c r="D29" s="60"/>
      <c r="E29" s="60"/>
      <c r="H29" s="44"/>
    </row>
    <row r="30" spans="1:8" ht="23.25" x14ac:dyDescent="0.35">
      <c r="A30" s="35" t="s">
        <v>127</v>
      </c>
      <c r="B30" s="36">
        <f>3800+45-40+80+40</f>
        <v>3925</v>
      </c>
      <c r="C30" s="36"/>
      <c r="D30" s="60"/>
      <c r="E30" s="60"/>
      <c r="H30" s="62"/>
    </row>
    <row r="31" spans="1:8" ht="23.25" x14ac:dyDescent="0.35">
      <c r="A31" s="35" t="s">
        <v>128</v>
      </c>
      <c r="B31" s="36">
        <v>25</v>
      </c>
      <c r="C31" s="36"/>
      <c r="D31" s="60"/>
      <c r="E31" s="60"/>
    </row>
    <row r="32" spans="1:8" ht="23.25" x14ac:dyDescent="0.35">
      <c r="A32" s="35" t="s">
        <v>129</v>
      </c>
      <c r="B32" s="36">
        <f>-40-5</f>
        <v>-45</v>
      </c>
      <c r="C32" s="36"/>
      <c r="D32" s="60"/>
      <c r="E32" s="60"/>
    </row>
    <row r="33" spans="1:5" ht="23.25" x14ac:dyDescent="0.35">
      <c r="A33" s="35" t="s">
        <v>130</v>
      </c>
      <c r="B33" s="36">
        <v>270</v>
      </c>
      <c r="C33" s="36"/>
      <c r="D33" s="60"/>
      <c r="E33" s="60"/>
    </row>
    <row r="34" spans="1:5" ht="24" thickBot="1" x14ac:dyDescent="0.4">
      <c r="A34" s="35" t="s">
        <v>131</v>
      </c>
      <c r="B34" s="36">
        <v>64</v>
      </c>
      <c r="C34" s="36"/>
      <c r="D34" s="38"/>
      <c r="E34" s="60"/>
    </row>
    <row r="35" spans="1:5" ht="24" thickBot="1" x14ac:dyDescent="0.4">
      <c r="A35" s="35"/>
      <c r="B35" s="46" t="s">
        <v>132</v>
      </c>
      <c r="C35" s="46">
        <v>18239.75</v>
      </c>
      <c r="D35" s="36"/>
      <c r="E35" s="60"/>
    </row>
    <row r="36" spans="1:5" ht="24" thickBot="1" x14ac:dyDescent="0.4">
      <c r="A36" s="54" t="s">
        <v>133</v>
      </c>
      <c r="B36" s="64"/>
      <c r="C36" s="39">
        <f>SUM(C35+C37)</f>
        <v>49508.08</v>
      </c>
      <c r="D36" s="38"/>
      <c r="E36" s="60"/>
    </row>
    <row r="37" spans="1:5" ht="24" thickBot="1" x14ac:dyDescent="0.4">
      <c r="A37" s="50" t="s">
        <v>134</v>
      </c>
      <c r="B37" s="45" t="s">
        <v>135</v>
      </c>
      <c r="C37" s="39">
        <f>SUM(B3+C4)</f>
        <v>31268.33</v>
      </c>
      <c r="D37" s="41"/>
      <c r="E37" s="60"/>
    </row>
    <row r="38" spans="1:5" ht="24" thickBot="1" x14ac:dyDescent="0.4">
      <c r="E38" s="60"/>
    </row>
    <row r="39" spans="1:5" ht="16.5" thickBot="1" x14ac:dyDescent="0.3">
      <c r="A39" s="65" t="s">
        <v>136</v>
      </c>
      <c r="B39" s="66" t="s">
        <v>137</v>
      </c>
      <c r="C39" s="66" t="s">
        <v>138</v>
      </c>
      <c r="D39" s="66" t="s">
        <v>139</v>
      </c>
    </row>
    <row r="40" spans="1:5" ht="15.75" x14ac:dyDescent="0.25">
      <c r="A40" s="88" t="s">
        <v>140</v>
      </c>
      <c r="B40" s="90">
        <v>4347.5</v>
      </c>
      <c r="C40" s="91">
        <v>4126.8599999999997</v>
      </c>
      <c r="D40" s="92">
        <f t="shared" ref="D40:D46" si="0">SUM(B40-C40)</f>
        <v>220.64000000000033</v>
      </c>
    </row>
    <row r="41" spans="1:5" ht="15.75" x14ac:dyDescent="0.25">
      <c r="A41" s="88" t="s">
        <v>141</v>
      </c>
      <c r="B41" s="93">
        <v>6148.7</v>
      </c>
      <c r="C41" s="67">
        <v>5387.32</v>
      </c>
      <c r="D41" s="94">
        <f t="shared" si="0"/>
        <v>761.38000000000011</v>
      </c>
    </row>
    <row r="42" spans="1:5" ht="15" x14ac:dyDescent="0.2">
      <c r="A42" s="89" t="s">
        <v>142</v>
      </c>
      <c r="B42" s="93">
        <f>55+1045+65+1650+440+440+165+55+110+330+65+165+220+120+100+275+260-55+110-55+55-100-110-55-40</f>
        <v>5310</v>
      </c>
      <c r="C42" s="67">
        <f>968+342.4+344.85+344.85+97.31+200+1034+97.32+700+700</f>
        <v>4828.7299999999996</v>
      </c>
      <c r="D42" s="94">
        <f t="shared" si="0"/>
        <v>481.27000000000044</v>
      </c>
    </row>
    <row r="43" spans="1:5" ht="15" x14ac:dyDescent="0.2">
      <c r="A43" s="89" t="s">
        <v>143</v>
      </c>
      <c r="B43" s="93">
        <f>110+935+2145+65+825+65+605+65+385+220+110+130+220+110-55+65</f>
        <v>6000</v>
      </c>
      <c r="C43" s="67">
        <f>900+950+900+700+857.2+97.32-466+312+97.32+700</f>
        <v>5047.8399999999992</v>
      </c>
      <c r="D43" s="94">
        <f t="shared" si="0"/>
        <v>952.16000000000076</v>
      </c>
    </row>
    <row r="44" spans="1:5" ht="15" x14ac:dyDescent="0.2">
      <c r="A44" s="89" t="s">
        <v>144</v>
      </c>
      <c r="B44" s="93">
        <f>1540+195+1430+660+65+110+220-220+220+110-660-65-990-55+2-55</f>
        <v>2507</v>
      </c>
      <c r="C44" s="67">
        <v>2156.5500000000002</v>
      </c>
      <c r="D44" s="94">
        <f t="shared" si="0"/>
        <v>350.44999999999982</v>
      </c>
    </row>
    <row r="45" spans="1:5" ht="15.75" x14ac:dyDescent="0.25">
      <c r="A45" s="88" t="s">
        <v>145</v>
      </c>
      <c r="B45" s="93">
        <f>320+2240+375+2155+185+3010+3755+1330+480+480-30+895+375-30+345+250+1490-90-185+185+320+185+185-185+185-185+160-320+185-320-185+320-320+185-145+30-350-185+25+187.9+25.5-80</f>
        <v>17253.400000000001</v>
      </c>
      <c r="C45" s="67">
        <f>500+500+100+810.7+810.7+2839+1250+950+2917+1023.2+97.32+1175+890+888.99+2000+2000+97.31</f>
        <v>18849.22</v>
      </c>
      <c r="D45" s="94">
        <f t="shared" si="0"/>
        <v>-1595.8199999999997</v>
      </c>
    </row>
    <row r="46" spans="1:5" ht="16.5" thickBot="1" x14ac:dyDescent="0.3">
      <c r="A46" s="88" t="s">
        <v>114</v>
      </c>
      <c r="B46" s="95">
        <v>1990</v>
      </c>
      <c r="C46" s="96">
        <f>332.5+1295</f>
        <v>1627.5</v>
      </c>
      <c r="D46" s="97">
        <f t="shared" si="0"/>
        <v>362.5</v>
      </c>
    </row>
    <row r="47" spans="1:5" ht="18.75" thickBot="1" x14ac:dyDescent="0.3">
      <c r="A47" s="69"/>
      <c r="B47" s="98">
        <f>SUM(B40:B46)</f>
        <v>43556.600000000006</v>
      </c>
      <c r="C47" s="99">
        <f>SUM(C40:C46)</f>
        <v>42024.020000000004</v>
      </c>
      <c r="D47" s="87">
        <f>SUM(D40:D46)</f>
        <v>1532.5800000000017</v>
      </c>
    </row>
    <row r="48" spans="1:5" ht="23.25" x14ac:dyDescent="0.35">
      <c r="A48" s="70"/>
      <c r="B48" s="69"/>
      <c r="C48" s="71" t="s">
        <v>146</v>
      </c>
      <c r="D48" s="69"/>
    </row>
    <row r="49" spans="1:3" ht="23.25" x14ac:dyDescent="0.35">
      <c r="A49" s="72" t="s">
        <v>147</v>
      </c>
      <c r="B49" s="69" t="s">
        <v>148</v>
      </c>
      <c r="C49" s="73"/>
    </row>
    <row r="50" spans="1:3" ht="23.25" x14ac:dyDescent="0.35">
      <c r="A50" s="69"/>
      <c r="B50" s="72"/>
      <c r="C50" s="73"/>
    </row>
  </sheetData>
  <sheetProtection algorithmName="SHA-512" hashValue="/ePqkpoYLjGtp+79GR4G78fL6HBEWwN+fZAtUTdW018+4R/4jNW6DBtdgWNxH3Xv6tpTw8wUyIjvqW0cKSlN+g==" saltValue="4WNZTmIR6sjvT80O5CxmQ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52D68-DD35-4EDB-AC7A-598FC7C30FB3}">
  <dimension ref="A1:J28"/>
  <sheetViews>
    <sheetView workbookViewId="0">
      <selection activeCell="J29" sqref="J29"/>
    </sheetView>
  </sheetViews>
  <sheetFormatPr baseColWidth="10" defaultRowHeight="15" x14ac:dyDescent="0.25"/>
  <cols>
    <col min="1" max="1" width="44.28515625" customWidth="1"/>
    <col min="10" max="10" width="26.7109375" bestFit="1" customWidth="1"/>
    <col min="241" max="241" width="38.7109375" bestFit="1" customWidth="1"/>
    <col min="497" max="497" width="38.7109375" bestFit="1" customWidth="1"/>
    <col min="753" max="753" width="38.7109375" bestFit="1" customWidth="1"/>
    <col min="1009" max="1009" width="38.7109375" bestFit="1" customWidth="1"/>
    <col min="1265" max="1265" width="38.7109375" bestFit="1" customWidth="1"/>
    <col min="1521" max="1521" width="38.7109375" bestFit="1" customWidth="1"/>
    <col min="1777" max="1777" width="38.7109375" bestFit="1" customWidth="1"/>
    <col min="2033" max="2033" width="38.7109375" bestFit="1" customWidth="1"/>
    <col min="2289" max="2289" width="38.7109375" bestFit="1" customWidth="1"/>
    <col min="2545" max="2545" width="38.7109375" bestFit="1" customWidth="1"/>
    <col min="2801" max="2801" width="38.7109375" bestFit="1" customWidth="1"/>
    <col min="3057" max="3057" width="38.7109375" bestFit="1" customWidth="1"/>
    <col min="3313" max="3313" width="38.7109375" bestFit="1" customWidth="1"/>
    <col min="3569" max="3569" width="38.7109375" bestFit="1" customWidth="1"/>
    <col min="3825" max="3825" width="38.7109375" bestFit="1" customWidth="1"/>
    <col min="4081" max="4081" width="38.7109375" bestFit="1" customWidth="1"/>
    <col min="4337" max="4337" width="38.7109375" bestFit="1" customWidth="1"/>
    <col min="4593" max="4593" width="38.7109375" bestFit="1" customWidth="1"/>
    <col min="4849" max="4849" width="38.7109375" bestFit="1" customWidth="1"/>
    <col min="5105" max="5105" width="38.7109375" bestFit="1" customWidth="1"/>
    <col min="5361" max="5361" width="38.7109375" bestFit="1" customWidth="1"/>
    <col min="5617" max="5617" width="38.7109375" bestFit="1" customWidth="1"/>
    <col min="5873" max="5873" width="38.7109375" bestFit="1" customWidth="1"/>
    <col min="6129" max="6129" width="38.7109375" bestFit="1" customWidth="1"/>
    <col min="6385" max="6385" width="38.7109375" bestFit="1" customWidth="1"/>
    <col min="6641" max="6641" width="38.7109375" bestFit="1" customWidth="1"/>
    <col min="6897" max="6897" width="38.7109375" bestFit="1" customWidth="1"/>
    <col min="7153" max="7153" width="38.7109375" bestFit="1" customWidth="1"/>
    <col min="7409" max="7409" width="38.7109375" bestFit="1" customWidth="1"/>
    <col min="7665" max="7665" width="38.7109375" bestFit="1" customWidth="1"/>
    <col min="7921" max="7921" width="38.7109375" bestFit="1" customWidth="1"/>
    <col min="8177" max="8177" width="38.7109375" bestFit="1" customWidth="1"/>
    <col min="8433" max="8433" width="38.7109375" bestFit="1" customWidth="1"/>
    <col min="8689" max="8689" width="38.7109375" bestFit="1" customWidth="1"/>
    <col min="8945" max="8945" width="38.7109375" bestFit="1" customWidth="1"/>
    <col min="9201" max="9201" width="38.7109375" bestFit="1" customWidth="1"/>
    <col min="9457" max="9457" width="38.7109375" bestFit="1" customWidth="1"/>
    <col min="9713" max="9713" width="38.7109375" bestFit="1" customWidth="1"/>
    <col min="9969" max="9969" width="38.7109375" bestFit="1" customWidth="1"/>
    <col min="10225" max="10225" width="38.7109375" bestFit="1" customWidth="1"/>
    <col min="10481" max="10481" width="38.7109375" bestFit="1" customWidth="1"/>
    <col min="10737" max="10737" width="38.7109375" bestFit="1" customWidth="1"/>
    <col min="10993" max="10993" width="38.7109375" bestFit="1" customWidth="1"/>
    <col min="11249" max="11249" width="38.7109375" bestFit="1" customWidth="1"/>
    <col min="11505" max="11505" width="38.7109375" bestFit="1" customWidth="1"/>
    <col min="11761" max="11761" width="38.7109375" bestFit="1" customWidth="1"/>
    <col min="12017" max="12017" width="38.7109375" bestFit="1" customWidth="1"/>
    <col min="12273" max="12273" width="38.7109375" bestFit="1" customWidth="1"/>
    <col min="12529" max="12529" width="38.7109375" bestFit="1" customWidth="1"/>
    <col min="12785" max="12785" width="38.7109375" bestFit="1" customWidth="1"/>
    <col min="13041" max="13041" width="38.7109375" bestFit="1" customWidth="1"/>
    <col min="13297" max="13297" width="38.7109375" bestFit="1" customWidth="1"/>
    <col min="13553" max="13553" width="38.7109375" bestFit="1" customWidth="1"/>
    <col min="13809" max="13809" width="38.7109375" bestFit="1" customWidth="1"/>
    <col min="14065" max="14065" width="38.7109375" bestFit="1" customWidth="1"/>
    <col min="14321" max="14321" width="38.7109375" bestFit="1" customWidth="1"/>
    <col min="14577" max="14577" width="38.7109375" bestFit="1" customWidth="1"/>
    <col min="14833" max="14833" width="38.7109375" bestFit="1" customWidth="1"/>
    <col min="15089" max="15089" width="38.7109375" bestFit="1" customWidth="1"/>
    <col min="15345" max="15345" width="38.7109375" bestFit="1" customWidth="1"/>
    <col min="15601" max="15601" width="38.7109375" bestFit="1" customWidth="1"/>
    <col min="15857" max="15857" width="38.7109375" bestFit="1" customWidth="1"/>
    <col min="16113" max="16113" width="38.7109375" bestFit="1" customWidth="1"/>
  </cols>
  <sheetData>
    <row r="1" spans="1:10" ht="15.75" thickBot="1" x14ac:dyDescent="0.3">
      <c r="A1" s="2" t="s">
        <v>1</v>
      </c>
      <c r="B1" s="74"/>
      <c r="D1" s="11"/>
    </row>
    <row r="2" spans="1:10" ht="15.75" thickBot="1" x14ac:dyDescent="0.3">
      <c r="A2" s="5" t="s">
        <v>149</v>
      </c>
      <c r="B2" s="75" t="s">
        <v>150</v>
      </c>
      <c r="J2" s="76"/>
    </row>
    <row r="3" spans="1:10" ht="15.75" thickBot="1" x14ac:dyDescent="0.3">
      <c r="A3" s="27">
        <v>45535</v>
      </c>
      <c r="C3" s="5" t="s">
        <v>151</v>
      </c>
      <c r="E3" s="7" t="s">
        <v>152</v>
      </c>
    </row>
    <row r="4" spans="1:10" ht="15.75" thickBot="1" x14ac:dyDescent="0.3">
      <c r="C4" s="77" t="s">
        <v>89</v>
      </c>
      <c r="D4" s="78" t="s">
        <v>88</v>
      </c>
      <c r="E4" s="79" t="s">
        <v>153</v>
      </c>
      <c r="F4" s="7" t="s">
        <v>89</v>
      </c>
      <c r="G4" s="7" t="s">
        <v>154</v>
      </c>
      <c r="H4" s="7" t="s">
        <v>88</v>
      </c>
      <c r="I4" s="7" t="s">
        <v>154</v>
      </c>
    </row>
    <row r="5" spans="1:10" x14ac:dyDescent="0.25">
      <c r="B5" s="68" t="s">
        <v>153</v>
      </c>
      <c r="F5" s="2"/>
      <c r="G5" s="2"/>
      <c r="H5" s="2"/>
    </row>
    <row r="6" spans="1:10" x14ac:dyDescent="0.25">
      <c r="B6" s="74"/>
      <c r="C6" s="80"/>
      <c r="D6" s="80"/>
      <c r="E6" s="74"/>
      <c r="F6" s="80"/>
      <c r="G6" s="23"/>
      <c r="H6" s="80"/>
    </row>
    <row r="7" spans="1:10" x14ac:dyDescent="0.25">
      <c r="C7" s="80"/>
      <c r="D7" s="80"/>
      <c r="E7" s="74"/>
      <c r="F7" s="80"/>
      <c r="G7" s="23"/>
      <c r="H7" s="80"/>
    </row>
    <row r="8" spans="1:10" x14ac:dyDescent="0.25">
      <c r="A8" s="2" t="s">
        <v>155</v>
      </c>
      <c r="B8" s="6">
        <v>375</v>
      </c>
      <c r="C8" s="80">
        <v>13125</v>
      </c>
      <c r="D8" s="80"/>
      <c r="E8" s="6">
        <f>+[2]INGRESOS!D3</f>
        <v>420</v>
      </c>
      <c r="F8" s="80">
        <f>+[2]INGRESOS!B3</f>
        <v>14700</v>
      </c>
      <c r="G8" s="11">
        <f>C8-F8</f>
        <v>-1575</v>
      </c>
      <c r="H8" s="80"/>
    </row>
    <row r="9" spans="1:10" x14ac:dyDescent="0.25">
      <c r="A9" s="2"/>
      <c r="B9" s="74"/>
      <c r="C9" s="80"/>
      <c r="D9" s="80"/>
      <c r="E9" s="74"/>
      <c r="F9" s="80"/>
      <c r="G9" s="23"/>
      <c r="H9" s="80"/>
    </row>
    <row r="10" spans="1:10" x14ac:dyDescent="0.25">
      <c r="A10" s="2" t="s">
        <v>156</v>
      </c>
      <c r="B10" s="74"/>
      <c r="C10" s="80">
        <v>550</v>
      </c>
      <c r="D10" s="80"/>
      <c r="E10" s="74"/>
      <c r="F10" s="80">
        <f>+[2]INGRESOS!B6</f>
        <v>540</v>
      </c>
      <c r="G10" s="23">
        <f>C10-F10</f>
        <v>10</v>
      </c>
      <c r="H10" s="80"/>
      <c r="I10" s="23"/>
    </row>
    <row r="11" spans="1:10" x14ac:dyDescent="0.25">
      <c r="A11" s="2" t="s">
        <v>157</v>
      </c>
      <c r="B11" s="74"/>
      <c r="C11" s="80"/>
      <c r="D11" s="80">
        <v>2500</v>
      </c>
      <c r="E11" s="74"/>
      <c r="F11" s="80"/>
      <c r="G11" s="23"/>
      <c r="H11" s="80">
        <v>1255.18</v>
      </c>
      <c r="I11" s="23">
        <f>D11-H11</f>
        <v>1244.82</v>
      </c>
    </row>
    <row r="12" spans="1:10" x14ac:dyDescent="0.25">
      <c r="A12" s="2"/>
      <c r="B12" s="74"/>
      <c r="C12" s="80"/>
      <c r="D12" s="80"/>
      <c r="E12" s="74"/>
      <c r="F12" s="80"/>
      <c r="G12" s="23"/>
      <c r="H12" s="80"/>
      <c r="I12" s="57"/>
    </row>
    <row r="13" spans="1:10" x14ac:dyDescent="0.25">
      <c r="A13" s="2" t="s">
        <v>158</v>
      </c>
      <c r="B13" s="74"/>
      <c r="C13" s="80">
        <v>1000</v>
      </c>
      <c r="D13" s="80"/>
      <c r="E13" s="74"/>
      <c r="F13" s="80">
        <f>+[2]INGRESOS!B5</f>
        <v>925</v>
      </c>
      <c r="G13" s="23">
        <f>C13-F13</f>
        <v>75</v>
      </c>
      <c r="H13" s="80"/>
      <c r="I13" s="23"/>
    </row>
    <row r="14" spans="1:10" ht="15.75" x14ac:dyDescent="0.25">
      <c r="A14" s="2" t="s">
        <v>159</v>
      </c>
      <c r="B14" s="74"/>
      <c r="C14" s="80"/>
      <c r="D14" s="80">
        <v>2500</v>
      </c>
      <c r="E14" s="74"/>
      <c r="F14" s="80"/>
      <c r="G14" s="81"/>
      <c r="H14" s="36">
        <v>3800.82</v>
      </c>
      <c r="I14" s="23">
        <f>D14-H14</f>
        <v>-1300.8200000000002</v>
      </c>
    </row>
    <row r="15" spans="1:10" x14ac:dyDescent="0.25">
      <c r="A15" s="2" t="s">
        <v>160</v>
      </c>
      <c r="B15" s="74"/>
      <c r="C15" s="80">
        <v>100</v>
      </c>
      <c r="D15" s="80">
        <v>100</v>
      </c>
      <c r="E15" s="74"/>
      <c r="F15" s="80">
        <f>+[2]INGRESOS!B8</f>
        <v>445</v>
      </c>
      <c r="G15" s="23">
        <f>C15-F15</f>
        <v>-345</v>
      </c>
      <c r="H15" s="80"/>
      <c r="I15" s="23"/>
    </row>
    <row r="16" spans="1:10" x14ac:dyDescent="0.25">
      <c r="A16" s="2" t="s">
        <v>161</v>
      </c>
      <c r="B16" s="74"/>
      <c r="C16" s="80">
        <v>0</v>
      </c>
      <c r="D16" s="80">
        <v>0</v>
      </c>
      <c r="E16" s="74"/>
      <c r="F16" s="80">
        <f>+[2]INGRESOS!B35</f>
        <v>270</v>
      </c>
      <c r="G16" s="23">
        <f>C16-F16</f>
        <v>-270</v>
      </c>
      <c r="H16" s="80">
        <v>224</v>
      </c>
      <c r="I16" s="23">
        <f>D16-H16</f>
        <v>-224</v>
      </c>
    </row>
    <row r="17" spans="1:10" x14ac:dyDescent="0.25">
      <c r="A17" s="2" t="s">
        <v>162</v>
      </c>
      <c r="B17" s="74"/>
      <c r="C17" s="80">
        <v>2700</v>
      </c>
      <c r="D17" s="80">
        <v>0</v>
      </c>
      <c r="E17" s="74"/>
      <c r="F17" s="80">
        <v>1532.58</v>
      </c>
      <c r="G17" s="23">
        <f>C17-F17</f>
        <v>1167.42</v>
      </c>
      <c r="H17" s="80"/>
    </row>
    <row r="18" spans="1:10" x14ac:dyDescent="0.25">
      <c r="A18" s="2" t="s">
        <v>163</v>
      </c>
      <c r="B18" s="74"/>
      <c r="C18" s="80">
        <v>0</v>
      </c>
      <c r="D18" s="80">
        <v>1025</v>
      </c>
      <c r="E18" s="74"/>
      <c r="F18" s="80"/>
      <c r="G18" s="23"/>
      <c r="H18" s="82">
        <v>2081</v>
      </c>
      <c r="I18" s="83">
        <f>D18-H18</f>
        <v>-1056</v>
      </c>
    </row>
    <row r="19" spans="1:10" x14ac:dyDescent="0.25">
      <c r="A19" s="2" t="s">
        <v>56</v>
      </c>
      <c r="B19" s="74"/>
      <c r="C19" s="80"/>
      <c r="D19" s="80">
        <v>4500</v>
      </c>
      <c r="E19" s="74"/>
      <c r="G19" s="23"/>
      <c r="H19" s="80">
        <v>4356.75</v>
      </c>
      <c r="I19" s="23">
        <f>D19-H19</f>
        <v>143.25</v>
      </c>
    </row>
    <row r="20" spans="1:10" x14ac:dyDescent="0.25">
      <c r="A20" s="2" t="s">
        <v>164</v>
      </c>
      <c r="B20" s="74"/>
      <c r="C20" s="80"/>
      <c r="D20" s="80">
        <v>1100</v>
      </c>
      <c r="E20" s="74"/>
      <c r="F20" s="80"/>
      <c r="G20" s="23"/>
      <c r="H20" s="80">
        <v>3680.79</v>
      </c>
      <c r="I20" s="23">
        <f>D20-H20</f>
        <v>-2580.79</v>
      </c>
    </row>
    <row r="21" spans="1:10" x14ac:dyDescent="0.25">
      <c r="A21" s="2" t="s">
        <v>66</v>
      </c>
      <c r="B21" s="74"/>
      <c r="C21" s="80"/>
      <c r="D21" s="80">
        <v>700</v>
      </c>
      <c r="E21" s="74"/>
      <c r="F21" s="80"/>
      <c r="G21" s="23"/>
      <c r="H21" s="80"/>
      <c r="I21" s="23"/>
    </row>
    <row r="22" spans="1:10" x14ac:dyDescent="0.25">
      <c r="A22" s="2" t="s">
        <v>165</v>
      </c>
      <c r="B22" s="74"/>
      <c r="C22" s="84"/>
      <c r="D22" s="80">
        <v>2900</v>
      </c>
      <c r="E22" s="74"/>
      <c r="F22" s="80"/>
      <c r="G22" s="23"/>
      <c r="H22" s="80">
        <v>2470.77</v>
      </c>
      <c r="I22" s="83">
        <f>D22-H22</f>
        <v>429.23</v>
      </c>
    </row>
    <row r="23" spans="1:10" x14ac:dyDescent="0.25">
      <c r="A23" s="2" t="s">
        <v>166</v>
      </c>
      <c r="B23" s="74"/>
      <c r="C23" s="84"/>
      <c r="D23" s="80">
        <v>1750</v>
      </c>
      <c r="E23" s="74"/>
      <c r="G23" s="23"/>
      <c r="H23" s="80">
        <v>297.01</v>
      </c>
      <c r="I23" s="83">
        <f t="shared" ref="I23" si="0">D23-H23</f>
        <v>1452.99</v>
      </c>
    </row>
    <row r="24" spans="1:10" x14ac:dyDescent="0.25">
      <c r="A24" s="2" t="s">
        <v>167</v>
      </c>
      <c r="B24" s="74"/>
      <c r="C24" s="84"/>
      <c r="D24" s="80">
        <v>200</v>
      </c>
      <c r="E24" s="74"/>
      <c r="G24" s="23"/>
      <c r="H24" s="80">
        <v>183.65</v>
      </c>
      <c r="I24" s="23">
        <f>D24-H24</f>
        <v>16.349999999999994</v>
      </c>
    </row>
    <row r="25" spans="1:10" x14ac:dyDescent="0.25">
      <c r="A25" s="2" t="s">
        <v>83</v>
      </c>
      <c r="B25" s="74"/>
      <c r="C25" s="84"/>
      <c r="D25" s="80">
        <v>200</v>
      </c>
      <c r="E25" s="74"/>
      <c r="F25" s="80"/>
      <c r="G25" s="23"/>
      <c r="H25" s="80">
        <v>294</v>
      </c>
      <c r="I25" s="23">
        <f>D25-H25</f>
        <v>-94</v>
      </c>
    </row>
    <row r="26" spans="1:10" x14ac:dyDescent="0.25">
      <c r="A26" s="2"/>
      <c r="B26" s="74"/>
      <c r="C26" s="84"/>
      <c r="D26" s="80"/>
      <c r="E26" s="74"/>
      <c r="F26" s="80"/>
      <c r="G26" s="23"/>
      <c r="H26" s="80"/>
      <c r="I26" s="2"/>
    </row>
    <row r="27" spans="1:10" ht="15.75" thickBot="1" x14ac:dyDescent="0.3">
      <c r="A27" s="2"/>
      <c r="B27" s="74"/>
      <c r="C27" s="85"/>
      <c r="D27" s="23"/>
      <c r="E27" s="74"/>
      <c r="F27" s="86"/>
      <c r="G27" s="23"/>
      <c r="H27" s="86"/>
      <c r="I27" s="57"/>
    </row>
    <row r="28" spans="1:10" ht="15.75" thickBot="1" x14ac:dyDescent="0.3">
      <c r="A28" s="19" t="s">
        <v>36</v>
      </c>
      <c r="B28" s="74"/>
      <c r="C28" s="80">
        <f>SUM(C8:C25)</f>
        <v>17475</v>
      </c>
      <c r="D28" s="80">
        <f>SUM(D8:D26)</f>
        <v>17475</v>
      </c>
      <c r="E28" s="74"/>
      <c r="F28" s="25">
        <f>SUM(F8:F25)</f>
        <v>18412.580000000002</v>
      </c>
      <c r="G28" s="23"/>
      <c r="H28" s="25">
        <f>SUM(H8:H25)</f>
        <v>18643.97</v>
      </c>
      <c r="J28" s="85"/>
    </row>
  </sheetData>
  <sheetProtection algorithmName="SHA-512" hashValue="2ZZnDZUPbFI1RS3BaWSPBw95NpvCAa2CjkIZaaz3JzigreNl5DvzYeDINTgDmjLaAihVu4YqaHqXu+Llbl8KKA==" saltValue="BFebKQHs5bFujnqEYJX/gg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AFE59-B63A-4028-BEF7-6C15C3D8702F}">
  <dimension ref="A1:K27"/>
  <sheetViews>
    <sheetView workbookViewId="0">
      <selection activeCell="M30" sqref="M30"/>
    </sheetView>
  </sheetViews>
  <sheetFormatPr baseColWidth="10" defaultRowHeight="15" x14ac:dyDescent="0.25"/>
  <cols>
    <col min="1" max="1" width="38.7109375" bestFit="1" customWidth="1"/>
    <col min="2" max="2" width="8.42578125" customWidth="1"/>
    <col min="3" max="3" width="9.85546875" customWidth="1"/>
    <col min="4" max="4" width="8.7109375" customWidth="1"/>
    <col min="5" max="5" width="11.7109375" customWidth="1"/>
    <col min="6" max="6" width="9.42578125" customWidth="1"/>
    <col min="7" max="8" width="10.140625" customWidth="1"/>
    <col min="9" max="9" width="10" customWidth="1"/>
    <col min="10" max="10" width="9.85546875" customWidth="1"/>
    <col min="11" max="11" width="9.5703125" customWidth="1"/>
    <col min="254" max="254" width="38.7109375" bestFit="1" customWidth="1"/>
    <col min="510" max="510" width="38.7109375" bestFit="1" customWidth="1"/>
    <col min="766" max="766" width="38.7109375" bestFit="1" customWidth="1"/>
    <col min="1022" max="1022" width="38.7109375" bestFit="1" customWidth="1"/>
    <col min="1278" max="1278" width="38.7109375" bestFit="1" customWidth="1"/>
    <col min="1534" max="1534" width="38.7109375" bestFit="1" customWidth="1"/>
    <col min="1790" max="1790" width="38.7109375" bestFit="1" customWidth="1"/>
    <col min="2046" max="2046" width="38.7109375" bestFit="1" customWidth="1"/>
    <col min="2302" max="2302" width="38.7109375" bestFit="1" customWidth="1"/>
    <col min="2558" max="2558" width="38.7109375" bestFit="1" customWidth="1"/>
    <col min="2814" max="2814" width="38.7109375" bestFit="1" customWidth="1"/>
    <col min="3070" max="3070" width="38.7109375" bestFit="1" customWidth="1"/>
    <col min="3326" max="3326" width="38.7109375" bestFit="1" customWidth="1"/>
    <col min="3582" max="3582" width="38.7109375" bestFit="1" customWidth="1"/>
    <col min="3838" max="3838" width="38.7109375" bestFit="1" customWidth="1"/>
    <col min="4094" max="4094" width="38.7109375" bestFit="1" customWidth="1"/>
    <col min="4350" max="4350" width="38.7109375" bestFit="1" customWidth="1"/>
    <col min="4606" max="4606" width="38.7109375" bestFit="1" customWidth="1"/>
    <col min="4862" max="4862" width="38.7109375" bestFit="1" customWidth="1"/>
    <col min="5118" max="5118" width="38.7109375" bestFit="1" customWidth="1"/>
    <col min="5374" max="5374" width="38.7109375" bestFit="1" customWidth="1"/>
    <col min="5630" max="5630" width="38.7109375" bestFit="1" customWidth="1"/>
    <col min="5886" max="5886" width="38.7109375" bestFit="1" customWidth="1"/>
    <col min="6142" max="6142" width="38.7109375" bestFit="1" customWidth="1"/>
    <col min="6398" max="6398" width="38.7109375" bestFit="1" customWidth="1"/>
    <col min="6654" max="6654" width="38.7109375" bestFit="1" customWidth="1"/>
    <col min="6910" max="6910" width="38.7109375" bestFit="1" customWidth="1"/>
    <col min="7166" max="7166" width="38.7109375" bestFit="1" customWidth="1"/>
    <col min="7422" max="7422" width="38.7109375" bestFit="1" customWidth="1"/>
    <col min="7678" max="7678" width="38.7109375" bestFit="1" customWidth="1"/>
    <col min="7934" max="7934" width="38.7109375" bestFit="1" customWidth="1"/>
    <col min="8190" max="8190" width="38.7109375" bestFit="1" customWidth="1"/>
    <col min="8446" max="8446" width="38.7109375" bestFit="1" customWidth="1"/>
    <col min="8702" max="8702" width="38.7109375" bestFit="1" customWidth="1"/>
    <col min="8958" max="8958" width="38.7109375" bestFit="1" customWidth="1"/>
    <col min="9214" max="9214" width="38.7109375" bestFit="1" customWidth="1"/>
    <col min="9470" max="9470" width="38.7109375" bestFit="1" customWidth="1"/>
    <col min="9726" max="9726" width="38.7109375" bestFit="1" customWidth="1"/>
    <col min="9982" max="9982" width="38.7109375" bestFit="1" customWidth="1"/>
    <col min="10238" max="10238" width="38.7109375" bestFit="1" customWidth="1"/>
    <col min="10494" max="10494" width="38.7109375" bestFit="1" customWidth="1"/>
    <col min="10750" max="10750" width="38.7109375" bestFit="1" customWidth="1"/>
    <col min="11006" max="11006" width="38.7109375" bestFit="1" customWidth="1"/>
    <col min="11262" max="11262" width="38.7109375" bestFit="1" customWidth="1"/>
    <col min="11518" max="11518" width="38.7109375" bestFit="1" customWidth="1"/>
    <col min="11774" max="11774" width="38.7109375" bestFit="1" customWidth="1"/>
    <col min="12030" max="12030" width="38.7109375" bestFit="1" customWidth="1"/>
    <col min="12286" max="12286" width="38.7109375" bestFit="1" customWidth="1"/>
    <col min="12542" max="12542" width="38.7109375" bestFit="1" customWidth="1"/>
    <col min="12798" max="12798" width="38.7109375" bestFit="1" customWidth="1"/>
    <col min="13054" max="13054" width="38.7109375" bestFit="1" customWidth="1"/>
    <col min="13310" max="13310" width="38.7109375" bestFit="1" customWidth="1"/>
    <col min="13566" max="13566" width="38.7109375" bestFit="1" customWidth="1"/>
    <col min="13822" max="13822" width="38.7109375" bestFit="1" customWidth="1"/>
    <col min="14078" max="14078" width="38.7109375" bestFit="1" customWidth="1"/>
    <col min="14334" max="14334" width="38.7109375" bestFit="1" customWidth="1"/>
    <col min="14590" max="14590" width="38.7109375" bestFit="1" customWidth="1"/>
    <col min="14846" max="14846" width="38.7109375" bestFit="1" customWidth="1"/>
    <col min="15102" max="15102" width="38.7109375" bestFit="1" customWidth="1"/>
    <col min="15358" max="15358" width="38.7109375" bestFit="1" customWidth="1"/>
    <col min="15614" max="15614" width="38.7109375" bestFit="1" customWidth="1"/>
    <col min="15870" max="15870" width="38.7109375" bestFit="1" customWidth="1"/>
    <col min="16126" max="16126" width="38.7109375" bestFit="1" customWidth="1"/>
  </cols>
  <sheetData>
    <row r="1" spans="1:11" ht="15.75" thickBot="1" x14ac:dyDescent="0.3">
      <c r="A1" s="2" t="s">
        <v>1</v>
      </c>
    </row>
    <row r="2" spans="1:11" ht="15.75" thickBot="1" x14ac:dyDescent="0.3">
      <c r="A2" s="5" t="s">
        <v>168</v>
      </c>
      <c r="B2" t="s">
        <v>169</v>
      </c>
      <c r="G2" t="s">
        <v>169</v>
      </c>
      <c r="I2" s="76" t="s">
        <v>170</v>
      </c>
    </row>
    <row r="3" spans="1:11" ht="15.75" thickBot="1" x14ac:dyDescent="0.3">
      <c r="A3" s="27" t="s">
        <v>171</v>
      </c>
      <c r="B3" s="7"/>
      <c r="G3" s="7"/>
    </row>
    <row r="4" spans="1:11" ht="15.75" thickBot="1" x14ac:dyDescent="0.3">
      <c r="B4" s="79" t="s">
        <v>153</v>
      </c>
      <c r="C4" s="7" t="s">
        <v>89</v>
      </c>
      <c r="D4" s="7" t="s">
        <v>154</v>
      </c>
      <c r="E4" s="7" t="s">
        <v>88</v>
      </c>
      <c r="F4" s="7" t="s">
        <v>154</v>
      </c>
      <c r="G4" s="79" t="s">
        <v>153</v>
      </c>
      <c r="H4" s="7" t="s">
        <v>89</v>
      </c>
      <c r="I4" s="7" t="s">
        <v>154</v>
      </c>
      <c r="J4" s="7" t="s">
        <v>88</v>
      </c>
      <c r="K4" s="7" t="s">
        <v>154</v>
      </c>
    </row>
    <row r="5" spans="1:11" x14ac:dyDescent="0.25">
      <c r="C5" s="2"/>
      <c r="D5" s="2"/>
      <c r="E5" s="2"/>
      <c r="H5" s="2"/>
      <c r="I5" s="2"/>
      <c r="J5" s="2"/>
    </row>
    <row r="6" spans="1:11" x14ac:dyDescent="0.25">
      <c r="B6" s="74"/>
      <c r="C6" s="80"/>
      <c r="D6" s="23"/>
      <c r="E6" s="80"/>
      <c r="G6" s="74"/>
      <c r="H6" s="80"/>
      <c r="I6" s="23"/>
      <c r="J6" s="80"/>
    </row>
    <row r="7" spans="1:11" x14ac:dyDescent="0.25">
      <c r="B7" s="74"/>
      <c r="C7" s="80"/>
      <c r="D7" s="23"/>
      <c r="E7" s="80"/>
      <c r="G7" s="74"/>
      <c r="H7" s="80"/>
      <c r="I7" s="23"/>
      <c r="J7" s="80"/>
    </row>
    <row r="8" spans="1:11" x14ac:dyDescent="0.25">
      <c r="A8" s="2" t="s">
        <v>155</v>
      </c>
      <c r="B8" s="6">
        <v>425</v>
      </c>
      <c r="C8" s="80">
        <f>35*425</f>
        <v>14875</v>
      </c>
      <c r="D8" s="11"/>
      <c r="E8" s="80"/>
      <c r="G8" s="6"/>
      <c r="H8" s="80"/>
      <c r="I8" s="11"/>
      <c r="J8" s="80"/>
    </row>
    <row r="9" spans="1:11" x14ac:dyDescent="0.25">
      <c r="A9" s="2"/>
      <c r="B9" s="74"/>
      <c r="C9" s="80"/>
      <c r="D9" s="23"/>
      <c r="E9" s="80"/>
      <c r="G9" s="74"/>
      <c r="H9" s="80"/>
      <c r="I9" s="23"/>
      <c r="J9" s="80"/>
    </row>
    <row r="10" spans="1:11" x14ac:dyDescent="0.25">
      <c r="A10" s="2" t="s">
        <v>156</v>
      </c>
      <c r="B10" s="74"/>
      <c r="C10" s="80">
        <f>18*40</f>
        <v>720</v>
      </c>
      <c r="D10" s="23"/>
      <c r="E10" s="80"/>
      <c r="F10" s="23"/>
      <c r="G10" s="74"/>
      <c r="H10" s="80"/>
      <c r="I10" s="23"/>
      <c r="J10" s="80"/>
      <c r="K10" s="23"/>
    </row>
    <row r="11" spans="1:11" x14ac:dyDescent="0.25">
      <c r="A11" s="2" t="s">
        <v>157</v>
      </c>
      <c r="B11" s="74"/>
      <c r="C11" s="80"/>
      <c r="D11" s="23"/>
      <c r="E11" s="80">
        <f>130*6+300</f>
        <v>1080</v>
      </c>
      <c r="F11" s="23"/>
      <c r="G11" s="74"/>
      <c r="H11" s="80"/>
      <c r="I11" s="23"/>
      <c r="J11" s="80"/>
      <c r="K11" s="23"/>
    </row>
    <row r="12" spans="1:11" x14ac:dyDescent="0.25">
      <c r="A12" s="2"/>
      <c r="B12" s="74"/>
      <c r="C12" s="80"/>
      <c r="D12" s="23"/>
      <c r="E12" s="80"/>
      <c r="F12" s="57"/>
      <c r="G12" s="74"/>
      <c r="H12" s="80"/>
      <c r="I12" s="23"/>
      <c r="J12" s="80"/>
      <c r="K12" s="57"/>
    </row>
    <row r="13" spans="1:11" x14ac:dyDescent="0.25">
      <c r="A13" s="2" t="s">
        <v>158</v>
      </c>
      <c r="B13" s="74"/>
      <c r="C13" s="80">
        <f>18*60</f>
        <v>1080</v>
      </c>
      <c r="D13" s="23"/>
      <c r="E13" s="80"/>
      <c r="F13" s="23"/>
      <c r="G13" s="74"/>
      <c r="H13" s="80"/>
      <c r="I13" s="23"/>
      <c r="J13" s="80"/>
      <c r="K13" s="23"/>
    </row>
    <row r="14" spans="1:11" ht="15.75" x14ac:dyDescent="0.25">
      <c r="A14" s="2" t="s">
        <v>159</v>
      </c>
      <c r="B14" s="74"/>
      <c r="C14" s="80"/>
      <c r="D14" s="81"/>
      <c r="E14" s="36">
        <f>9*350+1000</f>
        <v>4150</v>
      </c>
      <c r="F14" s="23"/>
      <c r="G14" s="74"/>
      <c r="H14" s="80"/>
      <c r="I14" s="81"/>
      <c r="J14" s="36"/>
      <c r="K14" s="23"/>
    </row>
    <row r="15" spans="1:11" x14ac:dyDescent="0.25">
      <c r="A15" s="2" t="s">
        <v>160</v>
      </c>
      <c r="B15" s="74"/>
      <c r="C15" s="80">
        <f>10*45</f>
        <v>450</v>
      </c>
      <c r="D15" s="23"/>
      <c r="E15" s="80"/>
      <c r="F15" s="23"/>
      <c r="G15" s="74"/>
      <c r="H15" s="80"/>
      <c r="I15" s="23"/>
      <c r="J15" s="80"/>
      <c r="K15" s="23"/>
    </row>
    <row r="16" spans="1:11" x14ac:dyDescent="0.25">
      <c r="A16" s="2" t="s">
        <v>161</v>
      </c>
      <c r="B16" s="74"/>
      <c r="C16" s="80">
        <f>45*9</f>
        <v>405</v>
      </c>
      <c r="D16" s="23"/>
      <c r="E16" s="80">
        <v>350</v>
      </c>
      <c r="F16" s="23"/>
      <c r="G16" s="74"/>
      <c r="H16" s="80"/>
      <c r="I16" s="23"/>
      <c r="J16" s="80"/>
      <c r="K16" s="23"/>
    </row>
    <row r="17" spans="1:11" x14ac:dyDescent="0.25">
      <c r="A17" s="2" t="s">
        <v>162</v>
      </c>
      <c r="B17" s="74"/>
      <c r="C17" s="80">
        <v>3000</v>
      </c>
      <c r="D17" s="23"/>
      <c r="E17" s="80"/>
      <c r="G17" s="74"/>
      <c r="H17" s="80"/>
      <c r="I17" s="23"/>
      <c r="J17" s="80"/>
    </row>
    <row r="18" spans="1:11" x14ac:dyDescent="0.25">
      <c r="A18" s="2" t="s">
        <v>163</v>
      </c>
      <c r="B18" s="74"/>
      <c r="C18" s="80"/>
      <c r="D18" s="23"/>
      <c r="E18" s="82">
        <v>2750</v>
      </c>
      <c r="F18" s="83"/>
      <c r="G18" s="74"/>
      <c r="H18" s="80"/>
      <c r="I18" s="23"/>
      <c r="J18" s="82"/>
      <c r="K18" s="83"/>
    </row>
    <row r="19" spans="1:11" x14ac:dyDescent="0.25">
      <c r="A19" s="2" t="s">
        <v>56</v>
      </c>
      <c r="B19" s="74"/>
      <c r="D19" s="23"/>
      <c r="E19" s="80">
        <v>4500</v>
      </c>
      <c r="F19" s="23"/>
      <c r="G19" s="74"/>
      <c r="I19" s="23"/>
      <c r="J19" s="80"/>
      <c r="K19" s="23"/>
    </row>
    <row r="20" spans="1:11" x14ac:dyDescent="0.25">
      <c r="A20" s="2" t="s">
        <v>172</v>
      </c>
      <c r="B20" s="74"/>
      <c r="C20" s="80"/>
      <c r="D20" s="23"/>
      <c r="E20" s="80">
        <v>3700</v>
      </c>
      <c r="F20" s="83"/>
      <c r="G20" s="74"/>
      <c r="H20" s="80"/>
      <c r="I20" s="23"/>
      <c r="J20" s="80"/>
      <c r="K20" s="83"/>
    </row>
    <row r="21" spans="1:11" x14ac:dyDescent="0.25">
      <c r="A21" s="2" t="s">
        <v>165</v>
      </c>
      <c r="B21" s="74"/>
      <c r="C21" s="80"/>
      <c r="D21" s="23"/>
      <c r="E21" s="80">
        <v>2500</v>
      </c>
      <c r="F21" s="83"/>
      <c r="G21" s="74"/>
      <c r="H21" s="80"/>
      <c r="I21" s="23"/>
      <c r="J21" s="80"/>
      <c r="K21" s="83"/>
    </row>
    <row r="22" spans="1:11" x14ac:dyDescent="0.25">
      <c r="A22" s="2" t="s">
        <v>166</v>
      </c>
      <c r="B22" s="74"/>
      <c r="D22" s="23"/>
      <c r="E22" s="80">
        <v>1000</v>
      </c>
      <c r="F22" s="2"/>
      <c r="G22" s="74"/>
      <c r="I22" s="23"/>
      <c r="J22" s="80"/>
      <c r="K22" s="2"/>
    </row>
    <row r="23" spans="1:11" x14ac:dyDescent="0.25">
      <c r="A23" s="2" t="s">
        <v>167</v>
      </c>
      <c r="B23" s="74"/>
      <c r="D23" s="23"/>
      <c r="E23" s="80">
        <v>200</v>
      </c>
      <c r="F23" s="23"/>
      <c r="G23" s="74"/>
      <c r="I23" s="23"/>
      <c r="J23" s="80"/>
      <c r="K23" s="23"/>
    </row>
    <row r="24" spans="1:11" x14ac:dyDescent="0.25">
      <c r="A24" s="2" t="s">
        <v>83</v>
      </c>
      <c r="B24" s="74"/>
      <c r="C24" s="80"/>
      <c r="D24" s="23"/>
      <c r="E24" s="80">
        <v>300</v>
      </c>
      <c r="F24" s="23"/>
      <c r="G24" s="74"/>
      <c r="H24" s="80"/>
      <c r="I24" s="23"/>
      <c r="J24" s="80"/>
      <c r="K24" s="23"/>
    </row>
    <row r="25" spans="1:11" x14ac:dyDescent="0.25">
      <c r="A25" s="2"/>
      <c r="B25" s="74"/>
      <c r="C25" s="80"/>
      <c r="D25" s="23"/>
      <c r="E25" s="80"/>
      <c r="F25" s="2"/>
      <c r="G25" s="74"/>
      <c r="H25" s="80"/>
      <c r="I25" s="23"/>
      <c r="J25" s="80"/>
      <c r="K25" s="2"/>
    </row>
    <row r="26" spans="1:11" ht="15.75" thickBot="1" x14ac:dyDescent="0.3">
      <c r="A26" s="2"/>
      <c r="B26" s="74"/>
      <c r="C26" s="86"/>
      <c r="D26" s="23"/>
      <c r="E26" s="86"/>
      <c r="F26" s="57"/>
      <c r="G26" s="74"/>
      <c r="H26" s="86"/>
      <c r="I26" s="23"/>
      <c r="J26" s="86"/>
      <c r="K26" s="57"/>
    </row>
    <row r="27" spans="1:11" ht="15.75" thickBot="1" x14ac:dyDescent="0.3">
      <c r="A27" s="19" t="s">
        <v>36</v>
      </c>
      <c r="B27" s="74"/>
      <c r="C27" s="25">
        <f>SUM(C6:C26)</f>
        <v>20530</v>
      </c>
      <c r="D27" s="23"/>
      <c r="E27" s="25">
        <f>SUM(E6:E26)</f>
        <v>20530</v>
      </c>
      <c r="F27" s="85"/>
      <c r="G27" s="74"/>
      <c r="H27" s="25">
        <f>SUM(H6:H26)</f>
        <v>0</v>
      </c>
      <c r="I27" s="23"/>
      <c r="J27" s="25">
        <f>SUM(J6:J26)</f>
        <v>0</v>
      </c>
      <c r="K27" s="85"/>
    </row>
  </sheetData>
  <sheetProtection algorithmName="SHA-512" hashValue="DF/3Hjc0tDysNRmUvlCoKvFka2Vj4g8niiAH3x2ehbXpM+uUU2Bcq6zeRD9KrFPOhGfE52jOKNdYuXQEnB44UQ==" saltValue="ZuDUoc6R1Yus3PruiY2LHg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BALANCE</vt:lpstr>
      <vt:lpstr>GASTOS</vt:lpstr>
      <vt:lpstr>INGRESOS</vt:lpstr>
      <vt:lpstr>PPTO 2024-2025</vt:lpstr>
      <vt:lpstr>PPTO 2025-2026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 CONDE SAMPAYO</dc:creator>
  <cp:lastModifiedBy>CARME CONDE SAMPAYO</cp:lastModifiedBy>
  <dcterms:created xsi:type="dcterms:W3CDTF">2025-11-05T12:21:19Z</dcterms:created>
  <dcterms:modified xsi:type="dcterms:W3CDTF">2025-11-05T18:28:56Z</dcterms:modified>
</cp:coreProperties>
</file>